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356" yWindow="220" windowWidth="24900" windowHeight="14920" tabRatio="843" activeTab="0"/>
  </bookViews>
  <sheets>
    <sheet name="Summary" sheetId="1" r:id="rId1"/>
    <sheet name="FH Results" sheetId="2" r:id="rId2"/>
    <sheet name="DA Results" sheetId="3" r:id="rId3"/>
    <sheet name="CS Results" sheetId="4" r:id="rId4"/>
    <sheet name="Basic Data" sheetId="5" r:id="rId5"/>
    <sheet name="Fund Balance" sheetId="6" r:id="rId6"/>
    <sheet name="Replacement Cost" sheetId="7" r:id="rId7"/>
    <sheet name="Labor Cost" sheetId="8" r:id="rId8"/>
    <sheet name="Current Inventory" sheetId="9" r:id="rId9"/>
    <sheet name="CS Purchase" sheetId="10" r:id="rId10"/>
    <sheet name="FH Purchase" sheetId="11" r:id="rId11"/>
    <sheet name="DA Purchase" sheetId="12" r:id="rId12"/>
  </sheets>
  <definedNames/>
  <calcPr fullCalcOnLoad="1"/>
</workbook>
</file>

<file path=xl/comments2.xml><?xml version="1.0" encoding="utf-8"?>
<comments xmlns="http://schemas.openxmlformats.org/spreadsheetml/2006/main">
  <authors>
    <author>Fred Sherman</author>
  </authors>
  <commentList>
    <comment ref="F3" authorId="0">
      <text>
        <r>
          <rPr>
            <b/>
            <sz val="9"/>
            <rFont val="Verdana"/>
            <family val="0"/>
          </rPr>
          <t>Fred Sherman:</t>
        </r>
        <r>
          <rPr>
            <sz val="9"/>
            <rFont val="Verdana"/>
            <family val="0"/>
          </rPr>
          <t xml:space="preserve">
Literal 0</t>
        </r>
      </text>
    </comment>
  </commentList>
</comments>
</file>

<file path=xl/comments5.xml><?xml version="1.0" encoding="utf-8"?>
<comments xmlns="http://schemas.openxmlformats.org/spreadsheetml/2006/main">
  <authors>
    <author>Fred Sherman</author>
  </authors>
  <commentList>
    <comment ref="D34" authorId="0">
      <text>
        <r>
          <rPr>
            <b/>
            <sz val="9"/>
            <rFont val="Verdana"/>
            <family val="0"/>
          </rPr>
          <t>Fred Sherman:</t>
        </r>
        <r>
          <rPr>
            <sz val="9"/>
            <rFont val="Verdana"/>
            <family val="0"/>
          </rPr>
          <t xml:space="preserve">
Less cost of labor for more expensive computer</t>
        </r>
      </text>
    </comment>
    <comment ref="B3" authorId="0">
      <text>
        <r>
          <rPr>
            <b/>
            <sz val="9"/>
            <rFont val="Verdana"/>
            <family val="0"/>
          </rPr>
          <t>Fred Sherman:</t>
        </r>
        <r>
          <rPr>
            <sz val="9"/>
            <rFont val="Verdana"/>
            <family val="0"/>
          </rPr>
          <t xml:space="preserve">
Date that the Bonds were sold according to Martin Vareda</t>
        </r>
      </text>
    </comment>
    <comment ref="A27" authorId="0">
      <text>
        <r>
          <rPr>
            <b/>
            <sz val="9"/>
            <rFont val="Verdana"/>
            <family val="0"/>
          </rPr>
          <t>Fred Sherman:</t>
        </r>
        <r>
          <rPr>
            <sz val="9"/>
            <rFont val="Verdana"/>
            <family val="0"/>
          </rPr>
          <t xml:space="preserve">
Includes overhead of 5.51%</t>
        </r>
      </text>
    </comment>
    <comment ref="A19" authorId="0">
      <text>
        <r>
          <rPr>
            <b/>
            <sz val="9"/>
            <rFont val="Verdana"/>
            <family val="0"/>
          </rPr>
          <t>Fred Sherman:</t>
        </r>
        <r>
          <rPr>
            <sz val="9"/>
            <rFont val="Verdana"/>
            <family val="0"/>
          </rPr>
          <t xml:space="preserve">
Includes installation and disposal costs</t>
        </r>
      </text>
    </comment>
  </commentList>
</comments>
</file>

<file path=xl/comments6.xml><?xml version="1.0" encoding="utf-8"?>
<comments xmlns="http://schemas.openxmlformats.org/spreadsheetml/2006/main">
  <authors>
    <author>Fred Sherman</author>
  </authors>
  <commentList>
    <comment ref="B17" authorId="0">
      <text>
        <r>
          <rPr>
            <b/>
            <sz val="9"/>
            <rFont val="Verdana"/>
            <family val="0"/>
          </rPr>
          <t>Fred Sherman:</t>
        </r>
        <r>
          <rPr>
            <sz val="9"/>
            <rFont val="Verdana"/>
            <family val="0"/>
          </rPr>
          <t xml:space="preserve">
As of 6/10/09</t>
        </r>
      </text>
    </comment>
  </commentList>
</comments>
</file>

<file path=xl/comments7.xml><?xml version="1.0" encoding="utf-8"?>
<comments xmlns="http://schemas.openxmlformats.org/spreadsheetml/2006/main">
  <authors>
    <author>Fred Sherman</author>
  </authors>
  <commentList>
    <comment ref="A7" authorId="0">
      <text>
        <r>
          <rPr>
            <b/>
            <sz val="9"/>
            <rFont val="Verdana"/>
            <family val="0"/>
          </rPr>
          <t>From Sharon:</t>
        </r>
        <r>
          <rPr>
            <sz val="9"/>
            <rFont val="Verdana"/>
            <family val="0"/>
          </rPr>
          <t xml:space="preserve">
1. $53.25/computer for MS Office and Operating System software
2. $        /Computer for Symantec Antivirus software
</t>
        </r>
      </text>
    </comment>
    <comment ref="A15" authorId="0">
      <text>
        <r>
          <rPr>
            <b/>
            <sz val="9"/>
            <rFont val="Verdana"/>
            <family val="0"/>
          </rPr>
          <t>Fred Sherman:</t>
        </r>
        <r>
          <rPr>
            <sz val="9"/>
            <rFont val="Verdana"/>
            <family val="0"/>
          </rPr>
          <t xml:space="preserve">
From Sharon:
Cost to install a computer
$500.35 - at the high end of complexity including network port adds and modifications to a location.  Note we are no longer using the Factory Imaging services from DELL or Apple.  Due to the frequency of image modifications and vendor personnel turnover, it became more time consuming (more costly) to maintain the images with the vendor at the factory than maintaining and applying the images ourselves</t>
        </r>
      </text>
    </comment>
    <comment ref="A13" authorId="0">
      <text>
        <r>
          <rPr>
            <b/>
            <sz val="9"/>
            <rFont val="Verdana"/>
            <family val="0"/>
          </rPr>
          <t>From Sharon:</t>
        </r>
        <r>
          <rPr>
            <sz val="9"/>
            <rFont val="Verdana"/>
            <family val="0"/>
          </rPr>
          <t xml:space="preserve">
3. Spent to date on Outsourced labor for Moving computers; Measure C account/project #766330:
     - De Anza Summer 2008 Projects: $8,228.25 (360 computers in ATC)
           </t>
        </r>
        <r>
          <rPr>
            <sz val="9"/>
            <color indexed="10"/>
            <rFont val="Verdana"/>
            <family val="0"/>
          </rPr>
          <t>$22.86</t>
        </r>
        <r>
          <rPr>
            <sz val="9"/>
            <rFont val="Verdana"/>
            <family val="0"/>
          </rPr>
          <t xml:space="preserve"> / computer
     - De Anza Winter 2009 Project: $3,291.30 (Library OML 92 
            computers)  </t>
        </r>
        <r>
          <rPr>
            <sz val="9"/>
            <color indexed="10"/>
            <rFont val="Verdana"/>
            <family val="0"/>
          </rPr>
          <t>$35.78</t>
        </r>
        <r>
          <rPr>
            <sz val="9"/>
            <rFont val="Verdana"/>
            <family val="0"/>
          </rPr>
          <t xml:space="preserve"> / computer
</t>
        </r>
        <r>
          <rPr>
            <b/>
            <sz val="9"/>
            <rFont val="Verdana"/>
            <family val="0"/>
          </rPr>
          <t>From Fred:</t>
        </r>
        <r>
          <rPr>
            <sz val="9"/>
            <rFont val="Verdana"/>
            <family val="0"/>
          </rPr>
          <t xml:space="preserve">
CORVAN used on approximately 25% of computers at an average cost of $30 per computer.</t>
        </r>
      </text>
    </comment>
    <comment ref="B15" authorId="0">
      <text>
        <r>
          <rPr>
            <b/>
            <sz val="9"/>
            <rFont val="Verdana"/>
            <family val="0"/>
          </rPr>
          <t>Fred Sherman:</t>
        </r>
        <r>
          <rPr>
            <sz val="9"/>
            <rFont val="Verdana"/>
            <family val="0"/>
          </rPr>
          <t xml:space="preserve">
Used average</t>
        </r>
      </text>
    </comment>
    <comment ref="C15" authorId="0">
      <text>
        <r>
          <rPr>
            <b/>
            <sz val="9"/>
            <rFont val="Verdana"/>
            <family val="0"/>
          </rPr>
          <t>Fred Sherman:</t>
        </r>
        <r>
          <rPr>
            <sz val="9"/>
            <rFont val="Verdana"/>
            <family val="0"/>
          </rPr>
          <t xml:space="preserve">
Used average</t>
        </r>
      </text>
    </comment>
    <comment ref="D15" authorId="0">
      <text>
        <r>
          <rPr>
            <b/>
            <sz val="9"/>
            <rFont val="Verdana"/>
            <family val="0"/>
          </rPr>
          <t>Fred Sherman:</t>
        </r>
        <r>
          <rPr>
            <sz val="9"/>
            <rFont val="Verdana"/>
            <family val="0"/>
          </rPr>
          <t xml:space="preserve">
Used standard</t>
        </r>
      </text>
    </comment>
    <comment ref="A10" authorId="0">
      <text>
        <r>
          <rPr>
            <b/>
            <sz val="9"/>
            <rFont val="Verdana"/>
            <family val="0"/>
          </rPr>
          <t>Fred Sherman:</t>
        </r>
        <r>
          <rPr>
            <sz val="9"/>
            <rFont val="Verdana"/>
            <family val="0"/>
          </rPr>
          <t xml:space="preserve">
Includes decommissioning, purchasing, etc.</t>
        </r>
      </text>
    </comment>
    <comment ref="C6" authorId="0">
      <text>
        <r>
          <rPr>
            <b/>
            <sz val="9"/>
            <rFont val="Verdana"/>
            <family val="0"/>
          </rPr>
          <t>Fred Sherman:</t>
        </r>
        <r>
          <rPr>
            <sz val="9"/>
            <rFont val="Verdana"/>
            <family val="0"/>
          </rPr>
          <t xml:space="preserve">
Set equal to FH, no acquisition data from DA</t>
        </r>
      </text>
    </comment>
  </commentList>
</comments>
</file>

<file path=xl/comments8.xml><?xml version="1.0" encoding="utf-8"?>
<comments xmlns="http://schemas.openxmlformats.org/spreadsheetml/2006/main">
  <authors>
    <author>Fred Sherman</author>
  </authors>
  <commentList>
    <comment ref="B18" authorId="0">
      <text>
        <r>
          <rPr>
            <b/>
            <sz val="9"/>
            <rFont val="Verdana"/>
            <family val="0"/>
          </rPr>
          <t>Fred Sherman:</t>
        </r>
        <r>
          <rPr>
            <sz val="9"/>
            <rFont val="Verdana"/>
            <family val="0"/>
          </rPr>
          <t xml:space="preserve">
Sharon chose two Tech Is with different salaries</t>
        </r>
      </text>
    </comment>
  </commentList>
</comments>
</file>

<file path=xl/comments9.xml><?xml version="1.0" encoding="utf-8"?>
<comments xmlns="http://schemas.openxmlformats.org/spreadsheetml/2006/main">
  <authors>
    <author>Fred Sherman</author>
  </authors>
  <commentList>
    <comment ref="A1" authorId="0">
      <text>
        <r>
          <rPr>
            <b/>
            <sz val="9"/>
            <rFont val="Verdana"/>
            <family val="0"/>
          </rPr>
          <t>Fred Sherman:</t>
        </r>
        <r>
          <rPr>
            <sz val="9"/>
            <rFont val="Verdana"/>
            <family val="0"/>
          </rPr>
          <t xml:space="preserve">
Same data as below</t>
        </r>
      </text>
    </comment>
  </commentList>
</comments>
</file>

<file path=xl/sharedStrings.xml><?xml version="1.0" encoding="utf-8"?>
<sst xmlns="http://schemas.openxmlformats.org/spreadsheetml/2006/main" count="279" uniqueCount="160">
  <si>
    <t>Assumes a distribution ratio between De Anza and Foothill based on current inventory numbers. Used a 70% factor to adjust price per computer in line with FH: ='Fund Balance'!C19/'Fund Balance'!B19*'FH Purchase'!B44*0.7</t>
  </si>
  <si>
    <t>Distribution Ratios</t>
  </si>
  <si>
    <t>For all 3 organizations</t>
  </si>
  <si>
    <t>Computer Inventory June 2009</t>
  </si>
  <si>
    <t>AGE in Years</t>
  </si>
  <si>
    <t>Over 4</t>
  </si>
  <si>
    <t>Totals</t>
  </si>
  <si>
    <t># of Computers at FH</t>
  </si>
  <si>
    <t># of Computers at DA</t>
  </si>
  <si>
    <t>ETS Budget 330</t>
  </si>
  <si>
    <t>Current</t>
  </si>
  <si>
    <t>Augment</t>
  </si>
  <si>
    <t>Labor &amp; Misc Costs only</t>
  </si>
  <si>
    <t>Overhead Rate</t>
  </si>
  <si>
    <t>Minus Funds Expended To Date: Prog Mgmt</t>
  </si>
  <si>
    <t>Minus Funds Expended To Date: COROVAN</t>
  </si>
  <si>
    <t>Re-install computers after moves</t>
  </si>
  <si>
    <t>0 - 1</t>
  </si>
  <si>
    <t>1 - 2</t>
  </si>
  <si>
    <t>2 - 3</t>
  </si>
  <si>
    <t>3 - 4</t>
  </si>
  <si>
    <r>
      <t xml:space="preserve">40 station deployment, salaries at </t>
    </r>
    <r>
      <rPr>
        <b/>
        <sz val="10"/>
        <rFont val="Verdana"/>
        <family val="0"/>
      </rPr>
      <t>high</t>
    </r>
    <r>
      <rPr>
        <sz val="10"/>
        <rFont val="Verdana"/>
        <family val="0"/>
      </rPr>
      <t xml:space="preserve"> end of pay scale, </t>
    </r>
    <r>
      <rPr>
        <b/>
        <sz val="10"/>
        <rFont val="Verdana"/>
        <family val="0"/>
      </rPr>
      <t>complex</t>
    </r>
    <r>
      <rPr>
        <sz val="10"/>
        <rFont val="Verdana"/>
        <family val="0"/>
      </rPr>
      <t xml:space="preserve"> install.
Includes surplus &amp; redeploy of old equip</t>
    </r>
  </si>
  <si>
    <t>Remaining Budget Available for Computers</t>
  </si>
  <si>
    <t>Remaining Budget Available for Labor</t>
  </si>
  <si>
    <r>
      <t xml:space="preserve">PERCENT </t>
    </r>
    <r>
      <rPr>
        <sz val="10"/>
        <rFont val="Verdana"/>
        <family val="0"/>
      </rPr>
      <t>of Labor to Total Cost</t>
    </r>
  </si>
  <si>
    <t>Labor Allocation 
to ETS</t>
  </si>
  <si>
    <t>Labor hours per computer for non-ETS work</t>
  </si>
  <si>
    <t>Non-ETS labor cost</t>
  </si>
  <si>
    <t xml:space="preserve">Installation (ETS) labor cost  </t>
  </si>
  <si>
    <t>Install Cost (Avg)</t>
  </si>
  <si>
    <t>Technicians also:</t>
  </si>
  <si>
    <t>Hours per computer (Avg)</t>
  </si>
  <si>
    <t>Effort (hrs)</t>
  </si>
  <si>
    <t>Total Cost</t>
  </si>
  <si>
    <t>Per computer</t>
  </si>
  <si>
    <t>Network &amp; Comm Admin</t>
  </si>
  <si>
    <t>711 Computers</t>
  </si>
  <si>
    <t>701 Computers</t>
  </si>
  <si>
    <t># of CS Computers at FH/District</t>
  </si>
  <si>
    <t># of CS Computers at DA</t>
  </si>
  <si>
    <t>Grand Totals</t>
  </si>
  <si>
    <t>0 to 1</t>
  </si>
  <si>
    <t>1 to 2</t>
  </si>
  <si>
    <t>2 to 3</t>
  </si>
  <si>
    <t>Weighting</t>
  </si>
  <si>
    <t>Total Shortfall</t>
  </si>
  <si>
    <t>Total Needed</t>
  </si>
  <si>
    <t>Total Available</t>
  </si>
  <si>
    <t>Difference</t>
  </si>
  <si>
    <t># of Techs</t>
  </si>
  <si>
    <t>#</t>
  </si>
  <si>
    <t>De Anza College</t>
  </si>
  <si>
    <t>Acquisition Shortfall</t>
  </si>
  <si>
    <t>Labor Shortfall</t>
  </si>
  <si>
    <t>Guess</t>
  </si>
  <si>
    <t>From Sharon</t>
  </si>
  <si>
    <t>For all types of labor</t>
  </si>
  <si>
    <t>Age (years)</t>
  </si>
  <si>
    <t>Measure C Computers</t>
  </si>
  <si>
    <t>ETS Labor Costs to Install a Computer</t>
  </si>
  <si>
    <t>Measure C Foothill College Computer Purchases</t>
  </si>
  <si>
    <t>Year</t>
  </si>
  <si>
    <t>Install additional software</t>
  </si>
  <si>
    <t>Troubleshoot applications</t>
  </si>
  <si>
    <t>Troubleshoot hardware</t>
  </si>
  <si>
    <t>Attend meetings</t>
  </si>
  <si>
    <t>Number of Computers in Inventory</t>
  </si>
  <si>
    <t>Total</t>
  </si>
  <si>
    <t>Average Costs of Replacing A Computer</t>
  </si>
  <si>
    <t>Increment</t>
  </si>
  <si>
    <t>Half year</t>
  </si>
  <si>
    <r>
      <t xml:space="preserve">* Acquisition </t>
    </r>
  </si>
  <si>
    <t>* Labor</t>
  </si>
  <si>
    <t>* Total</t>
  </si>
  <si>
    <t xml:space="preserve">* Total </t>
  </si>
  <si>
    <t xml:space="preserve">* Labor </t>
  </si>
  <si>
    <t>Budget #</t>
  </si>
  <si>
    <t>Original Budget</t>
  </si>
  <si>
    <t>Computers per technician per year</t>
  </si>
  <si>
    <t>Measure C DeAnza College Computer Purchases</t>
  </si>
  <si>
    <t>Month</t>
  </si>
  <si>
    <t>Installation (labor)</t>
  </si>
  <si>
    <t xml:space="preserve">Acquisition cost </t>
  </si>
  <si>
    <t xml:space="preserve">Other costs </t>
  </si>
  <si>
    <t>Based on experience</t>
  </si>
  <si>
    <t>Remaining Balance</t>
  </si>
  <si>
    <t>Measure C Fund Balance for Computers</t>
  </si>
  <si>
    <t>Acquisition</t>
  </si>
  <si>
    <t>Foothill College</t>
  </si>
  <si>
    <t xml:space="preserve">De Anza College </t>
  </si>
  <si>
    <t>Central Services</t>
  </si>
  <si>
    <t>Minus Funds Expended To Date: Computers</t>
  </si>
  <si>
    <t>Minus Funds Expended To Date: Software</t>
  </si>
  <si>
    <t>DeAnza computers estimated</t>
  </si>
  <si>
    <t>Measure C Central Services Computer Purchases</t>
  </si>
  <si>
    <t>Distributed Remaining Balance</t>
  </si>
  <si>
    <t>$ per labor hour</t>
  </si>
  <si>
    <t>Take Vacation, Sick time, Personal time</t>
  </si>
  <si>
    <t>Total working hours</t>
  </si>
  <si>
    <t>Grand Total</t>
  </si>
  <si>
    <t>Total available hours</t>
  </si>
  <si>
    <t>Acquisition Allocation 
to CS</t>
  </si>
  <si>
    <t>Acquisition Allocation 
to DA</t>
  </si>
  <si>
    <t>Acquisition Allocation 
to FH</t>
  </si>
  <si>
    <t>FH Portion</t>
  </si>
  <si>
    <t>DA Portion</t>
  </si>
  <si>
    <t>CS Portion</t>
  </si>
  <si>
    <t>Foothill</t>
  </si>
  <si>
    <t>De Anza</t>
  </si>
  <si>
    <t>Acquisition Budgets</t>
  </si>
  <si>
    <t>Labor Budget</t>
  </si>
  <si>
    <t>CS</t>
  </si>
  <si>
    <t>2009-2010</t>
  </si>
  <si>
    <t>2010-2011</t>
  </si>
  <si>
    <t>2011-2012</t>
  </si>
  <si>
    <t>2012-2013</t>
  </si>
  <si>
    <t>2013-2014</t>
  </si>
  <si>
    <t>2014-2015</t>
  </si>
  <si>
    <t>2015-2016</t>
  </si>
  <si>
    <t>2016-2017</t>
  </si>
  <si>
    <t>2017-2018</t>
  </si>
  <si>
    <t>2018-2019</t>
  </si>
  <si>
    <t>2018-2020</t>
  </si>
  <si>
    <t>2020-2021</t>
  </si>
  <si>
    <t>2021-2022</t>
  </si>
  <si>
    <t>Basic Data</t>
  </si>
  <si>
    <r>
      <t>DATE</t>
    </r>
    <r>
      <rPr>
        <sz val="10"/>
        <rFont val="Verdana"/>
        <family val="0"/>
      </rPr>
      <t xml:space="preserve"> Measure C Started</t>
    </r>
  </si>
  <si>
    <t>Position</t>
  </si>
  <si>
    <t>Salary &amp; Benefits</t>
  </si>
  <si>
    <t>Tech Sr.</t>
  </si>
  <si>
    <t>Tech II</t>
  </si>
  <si>
    <t>$/hr</t>
  </si>
  <si>
    <t>%</t>
  </si>
  <si>
    <t>611 Computers</t>
  </si>
  <si>
    <t>601 Computers</t>
  </si>
  <si>
    <t>Months</t>
  </si>
  <si>
    <t>Tech I (1)</t>
  </si>
  <si>
    <t>Tech I (2)</t>
  </si>
  <si>
    <t>Based on ratos in inventory</t>
  </si>
  <si>
    <t>3 to 4</t>
  </si>
  <si>
    <t>(from Sharon)</t>
  </si>
  <si>
    <r>
      <t xml:space="preserve">COST </t>
    </r>
    <r>
      <rPr>
        <sz val="10"/>
        <rFont val="Verdana"/>
        <family val="0"/>
      </rPr>
      <t>of one computer</t>
    </r>
  </si>
  <si>
    <r>
      <t>Total</t>
    </r>
    <r>
      <rPr>
        <b/>
        <sz val="10"/>
        <rFont val="Verdana"/>
        <family val="0"/>
      </rPr>
      <t xml:space="preserve"> FUNDS </t>
    </r>
    <r>
      <rPr>
        <sz val="10"/>
        <rFont val="Verdana"/>
        <family val="0"/>
      </rPr>
      <t>Available Currently</t>
    </r>
  </si>
  <si>
    <r>
      <t xml:space="preserve">Annual </t>
    </r>
    <r>
      <rPr>
        <b/>
        <sz val="10"/>
        <rFont val="Verdana"/>
        <family val="0"/>
      </rPr>
      <t xml:space="preserve">FUNDS </t>
    </r>
    <r>
      <rPr>
        <sz val="10"/>
        <rFont val="Verdana"/>
        <family val="0"/>
      </rPr>
      <t>Required for 5-Year-Cycle</t>
    </r>
  </si>
  <si>
    <r>
      <t xml:space="preserve">Total </t>
    </r>
    <r>
      <rPr>
        <b/>
        <sz val="10"/>
        <rFont val="Verdana"/>
        <family val="0"/>
      </rPr>
      <t>NUMBER</t>
    </r>
    <r>
      <rPr>
        <sz val="10"/>
        <rFont val="Verdana"/>
        <family val="0"/>
      </rPr>
      <t xml:space="preserve"> of Computers in Inventory</t>
    </r>
  </si>
  <si>
    <r>
      <t xml:space="preserve">5-Year-Cycle Annual Replacement </t>
    </r>
    <r>
      <rPr>
        <b/>
        <sz val="10"/>
        <rFont val="Verdana"/>
        <family val="0"/>
      </rPr>
      <t>RATE</t>
    </r>
  </si>
  <si>
    <r>
      <t>DATE</t>
    </r>
    <r>
      <rPr>
        <sz val="10"/>
        <rFont val="Verdana"/>
        <family val="0"/>
      </rPr>
      <t xml:space="preserve"> to start calculation</t>
    </r>
  </si>
  <si>
    <r>
      <t>DATE</t>
    </r>
    <r>
      <rPr>
        <sz val="10"/>
        <rFont val="Verdana"/>
        <family val="0"/>
      </rPr>
      <t xml:space="preserve"> Measure C Ends</t>
    </r>
  </si>
  <si>
    <r>
      <t>YEARS</t>
    </r>
    <r>
      <rPr>
        <sz val="10"/>
        <rFont val="Verdana"/>
        <family val="0"/>
      </rPr>
      <t xml:space="preserve"> Remaining on Measure C</t>
    </r>
  </si>
  <si>
    <r>
      <t xml:space="preserve">40 station deployment, salaries at </t>
    </r>
    <r>
      <rPr>
        <b/>
        <sz val="10"/>
        <rFont val="Verdana"/>
        <family val="0"/>
      </rPr>
      <t>low</t>
    </r>
    <r>
      <rPr>
        <sz val="10"/>
        <rFont val="Verdana"/>
        <family val="0"/>
      </rPr>
      <t xml:space="preserve"> end of pay scale, </t>
    </r>
    <r>
      <rPr>
        <b/>
        <sz val="10"/>
        <rFont val="Verdana"/>
        <family val="0"/>
      </rPr>
      <t>standard</t>
    </r>
    <r>
      <rPr>
        <sz val="10"/>
        <rFont val="Verdana"/>
        <family val="0"/>
      </rPr>
      <t xml:space="preserve"> install.
Includes surplus &amp; redeploy of old equip.</t>
    </r>
  </si>
  <si>
    <t>Purchase cost only</t>
  </si>
  <si>
    <t xml:space="preserve">Moving costs (COROVAN etc.) </t>
  </si>
  <si>
    <t>Account 611/711 Computers Replaced to Date</t>
  </si>
  <si>
    <t>Grand Total of All Budgets</t>
  </si>
  <si>
    <t>Grand Total of All Funds Available</t>
  </si>
  <si>
    <t>#330</t>
  </si>
  <si>
    <t>#611, 711, 430</t>
  </si>
  <si>
    <t>* Acquisition</t>
  </si>
  <si>
    <t>as of November 2009</t>
  </si>
  <si>
    <t>Summary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</si>
</sst>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quot;$&quot;#,##0"/>
    <numFmt numFmtId="167" formatCode="0.0"/>
  </numFmts>
  <fonts count="30">
    <font>
      <sz val="10"/>
      <name val="Verdana"/>
      <family val="0"/>
    </font>
    <font>
      <b/>
      <sz val="10"/>
      <name val="Verdana"/>
      <family val="0"/>
    </font>
    <font>
      <i/>
      <sz val="10"/>
      <name val="Verdana"/>
      <family val="0"/>
    </font>
    <font>
      <b/>
      <i/>
      <sz val="10"/>
      <name val="Verdana"/>
      <family val="0"/>
    </font>
    <font>
      <u val="single"/>
      <sz val="15"/>
      <color indexed="12"/>
      <name val="Verdana"/>
      <family val="0"/>
    </font>
    <font>
      <u val="single"/>
      <sz val="15"/>
      <color indexed="61"/>
      <name val="Verdana"/>
      <family val="0"/>
    </font>
    <font>
      <b/>
      <sz val="12"/>
      <name val="Verdana"/>
      <family val="0"/>
    </font>
    <font>
      <sz val="10"/>
      <color indexed="18"/>
      <name val="Verdana"/>
      <family val="0"/>
    </font>
    <font>
      <sz val="8"/>
      <name val="Arial"/>
      <family val="0"/>
    </font>
    <font>
      <b/>
      <sz val="14"/>
      <name val="Verdana"/>
      <family val="0"/>
    </font>
    <font>
      <sz val="10"/>
      <color indexed="16"/>
      <name val="Verdana"/>
      <family val="0"/>
    </font>
    <font>
      <sz val="10"/>
      <color indexed="10"/>
      <name val="Verdana"/>
      <family val="0"/>
    </font>
    <font>
      <sz val="8"/>
      <name val="Verdana"/>
      <family val="0"/>
    </font>
    <font>
      <sz val="9"/>
      <name val="Verdana"/>
      <family val="0"/>
    </font>
    <font>
      <b/>
      <sz val="9"/>
      <name val="Verdana"/>
      <family val="0"/>
    </font>
    <font>
      <b/>
      <sz val="8"/>
      <name val="Verdana"/>
      <family val="0"/>
    </font>
    <font>
      <b/>
      <sz val="10"/>
      <color indexed="12"/>
      <name val="Verdana"/>
      <family val="0"/>
    </font>
    <font>
      <sz val="10"/>
      <name val="Arial"/>
      <family val="0"/>
    </font>
    <font>
      <b/>
      <sz val="10"/>
      <color indexed="18"/>
      <name val="Verdana"/>
      <family val="0"/>
    </font>
    <font>
      <sz val="9"/>
      <color indexed="10"/>
      <name val="Verdana"/>
      <family val="0"/>
    </font>
    <font>
      <b/>
      <sz val="18"/>
      <name val="Verdana"/>
      <family val="0"/>
    </font>
    <font>
      <b/>
      <sz val="11"/>
      <name val="Verdana"/>
      <family val="0"/>
    </font>
    <font>
      <sz val="11"/>
      <name val="Verdana"/>
      <family val="0"/>
    </font>
    <font>
      <sz val="11"/>
      <name val="Helv"/>
      <family val="0"/>
    </font>
    <font>
      <sz val="11"/>
      <color indexed="10"/>
      <name val="Helv"/>
      <family val="0"/>
    </font>
    <font>
      <b/>
      <sz val="11"/>
      <name val="Helv"/>
      <family val="0"/>
    </font>
    <font>
      <b/>
      <sz val="10"/>
      <color indexed="9"/>
      <name val="Verdana"/>
      <family val="0"/>
    </font>
    <font>
      <sz val="12"/>
      <name val="Verdana"/>
      <family val="0"/>
    </font>
    <font>
      <sz val="12"/>
      <name val="Helv"/>
      <family val="0"/>
    </font>
    <font>
      <sz val="10"/>
      <color indexed="9"/>
      <name val="Verdana"/>
      <family val="0"/>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17">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235">
    <xf numFmtId="0" fontId="0" fillId="0" borderId="0" xfId="0" applyAlignment="1">
      <alignment/>
    </xf>
    <xf numFmtId="0" fontId="0" fillId="0" borderId="0" xfId="0"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Fill="1" applyBorder="1" applyAlignment="1">
      <alignment horizontal="right"/>
    </xf>
    <xf numFmtId="3" fontId="0" fillId="0" borderId="0" xfId="0" applyNumberFormat="1" applyAlignment="1">
      <alignment/>
    </xf>
    <xf numFmtId="3" fontId="0" fillId="0" borderId="0" xfId="0" applyNumberFormat="1" applyFill="1" applyBorder="1" applyAlignment="1">
      <alignment/>
    </xf>
    <xf numFmtId="3" fontId="0" fillId="0" borderId="0" xfId="0" applyNumberFormat="1" applyFill="1" applyAlignment="1">
      <alignment/>
    </xf>
    <xf numFmtId="3" fontId="0" fillId="0" borderId="0" xfId="0" applyNumberFormat="1" applyFont="1" applyFill="1" applyAlignment="1">
      <alignment horizontal="right"/>
    </xf>
    <xf numFmtId="0" fontId="1" fillId="0" borderId="0" xfId="0" applyFont="1" applyAlignment="1">
      <alignment/>
    </xf>
    <xf numFmtId="17" fontId="0" fillId="0" borderId="0" xfId="0" applyNumberFormat="1" applyAlignment="1">
      <alignment/>
    </xf>
    <xf numFmtId="0" fontId="9" fillId="0" borderId="0" xfId="0" applyFont="1" applyAlignment="1">
      <alignment/>
    </xf>
    <xf numFmtId="17" fontId="6" fillId="0" borderId="0" xfId="0" applyNumberFormat="1"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right" wrapText="1"/>
    </xf>
    <xf numFmtId="0" fontId="0" fillId="2" borderId="0" xfId="0" applyFill="1" applyAlignment="1">
      <alignment/>
    </xf>
    <xf numFmtId="3" fontId="7" fillId="0" borderId="0" xfId="0" applyNumberFormat="1" applyFont="1" applyAlignment="1">
      <alignment horizontal="right"/>
    </xf>
    <xf numFmtId="3" fontId="6" fillId="0" borderId="0" xfId="0" applyNumberFormat="1" applyFont="1" applyAlignment="1">
      <alignment horizontal="left"/>
    </xf>
    <xf numFmtId="3" fontId="0" fillId="0" borderId="0" xfId="0" applyNumberFormat="1" applyAlignment="1">
      <alignment horizontal="right"/>
    </xf>
    <xf numFmtId="3" fontId="12" fillId="0" borderId="0" xfId="0" applyNumberFormat="1" applyFont="1" applyFill="1" applyAlignment="1">
      <alignment horizontal="left"/>
    </xf>
    <xf numFmtId="0" fontId="11" fillId="0" borderId="0" xfId="0" applyFont="1" applyAlignment="1">
      <alignment/>
    </xf>
    <xf numFmtId="0" fontId="15" fillId="0" borderId="0" xfId="0" applyFont="1" applyAlignment="1">
      <alignment/>
    </xf>
    <xf numFmtId="0" fontId="0" fillId="3" borderId="0" xfId="0" applyFill="1" applyAlignment="1">
      <alignment/>
    </xf>
    <xf numFmtId="0" fontId="0" fillId="4" borderId="0" xfId="0" applyFill="1" applyAlignment="1">
      <alignment/>
    </xf>
    <xf numFmtId="0" fontId="0" fillId="3" borderId="0" xfId="0" applyFill="1" applyAlignment="1">
      <alignment horizontal="center"/>
    </xf>
    <xf numFmtId="0" fontId="0" fillId="4" borderId="0" xfId="0" applyFill="1" applyAlignment="1">
      <alignment horizontal="center"/>
    </xf>
    <xf numFmtId="0" fontId="16" fillId="0" borderId="0" xfId="0" applyFont="1" applyAlignment="1">
      <alignment wrapText="1"/>
    </xf>
    <xf numFmtId="166" fontId="1" fillId="0" borderId="0" xfId="0" applyNumberFormat="1" applyFont="1" applyAlignment="1">
      <alignment horizontal="right"/>
    </xf>
    <xf numFmtId="9" fontId="0" fillId="0" borderId="0" xfId="0" applyNumberFormat="1" applyAlignment="1">
      <alignment/>
    </xf>
    <xf numFmtId="1" fontId="1" fillId="0" borderId="0" xfId="0" applyNumberFormat="1" applyFont="1" applyAlignment="1">
      <alignment horizontal="right"/>
    </xf>
    <xf numFmtId="3" fontId="0" fillId="0" borderId="0" xfId="0" applyNumberFormat="1" applyFill="1" applyAlignment="1">
      <alignment horizontal="right"/>
    </xf>
    <xf numFmtId="167" fontId="1" fillId="0" borderId="0" xfId="0" applyNumberFormat="1" applyFont="1" applyAlignment="1">
      <alignment/>
    </xf>
    <xf numFmtId="0" fontId="0" fillId="0" borderId="0" xfId="0" applyAlignment="1">
      <alignment horizontal="left" vertical="top" wrapText="1"/>
    </xf>
    <xf numFmtId="3" fontId="1" fillId="0" borderId="0" xfId="0" applyNumberFormat="1" applyFont="1" applyAlignment="1">
      <alignment horizontal="right"/>
    </xf>
    <xf numFmtId="4" fontId="6" fillId="0" borderId="0" xfId="0" applyNumberFormat="1" applyFont="1" applyAlignment="1">
      <alignment/>
    </xf>
    <xf numFmtId="3" fontId="0" fillId="0" borderId="0" xfId="0" applyNumberFormat="1" applyBorder="1" applyAlignment="1">
      <alignment horizontal="right"/>
    </xf>
    <xf numFmtId="3" fontId="0" fillId="2" borderId="0" xfId="0" applyNumberFormat="1" applyFill="1" applyAlignment="1">
      <alignment horizontal="right"/>
    </xf>
    <xf numFmtId="3" fontId="0" fillId="2" borderId="0" xfId="0" applyNumberFormat="1" applyFont="1" applyFill="1" applyAlignment="1">
      <alignment horizontal="right"/>
    </xf>
    <xf numFmtId="3" fontId="0" fillId="2" borderId="0" xfId="0" applyNumberFormat="1" applyFill="1" applyAlignment="1">
      <alignment/>
    </xf>
    <xf numFmtId="0" fontId="0" fillId="2" borderId="0" xfId="0" applyFill="1" applyAlignment="1">
      <alignment horizontal="right"/>
    </xf>
    <xf numFmtId="38" fontId="1" fillId="0" borderId="0" xfId="0" applyNumberFormat="1" applyFont="1" applyAlignment="1">
      <alignment horizontal="center" wrapText="1"/>
    </xf>
    <xf numFmtId="38" fontId="0" fillId="0" borderId="0" xfId="0" applyNumberFormat="1" applyAlignment="1">
      <alignment horizontal="right"/>
    </xf>
    <xf numFmtId="0" fontId="0" fillId="4" borderId="0" xfId="0" applyFill="1" applyAlignment="1">
      <alignment horizontal="right"/>
    </xf>
    <xf numFmtId="38" fontId="1" fillId="0" borderId="0" xfId="0" applyNumberFormat="1" applyFont="1" applyAlignment="1">
      <alignment horizontal="right"/>
    </xf>
    <xf numFmtId="38" fontId="0" fillId="0" borderId="0" xfId="0" applyNumberFormat="1" applyAlignment="1">
      <alignment horizontal="left"/>
    </xf>
    <xf numFmtId="9" fontId="0" fillId="0" borderId="0" xfId="0" applyNumberFormat="1" applyAlignment="1">
      <alignment horizontal="right"/>
    </xf>
    <xf numFmtId="0" fontId="20" fillId="0" borderId="0" xfId="0" applyFont="1" applyAlignment="1">
      <alignment horizontal="left"/>
    </xf>
    <xf numFmtId="38" fontId="1" fillId="4" borderId="0" xfId="0" applyNumberFormat="1" applyFont="1" applyFill="1" applyAlignment="1">
      <alignment horizontal="right" wrapText="1"/>
    </xf>
    <xf numFmtId="38" fontId="0" fillId="4" borderId="0" xfId="0" applyNumberFormat="1" applyFill="1" applyAlignment="1">
      <alignment horizontal="right"/>
    </xf>
    <xf numFmtId="0" fontId="0" fillId="5" borderId="0" xfId="0" applyFill="1" applyAlignment="1">
      <alignment horizontal="right"/>
    </xf>
    <xf numFmtId="38" fontId="0" fillId="5" borderId="0" xfId="0" applyNumberFormat="1" applyFill="1" applyAlignment="1">
      <alignment horizontal="right"/>
    </xf>
    <xf numFmtId="38" fontId="1" fillId="3" borderId="0" xfId="0" applyNumberFormat="1" applyFont="1" applyFill="1" applyAlignment="1">
      <alignment horizontal="center" wrapText="1"/>
    </xf>
    <xf numFmtId="167" fontId="0" fillId="3" borderId="0" xfId="0" applyNumberFormat="1" applyFill="1" applyAlignment="1">
      <alignment horizontal="center"/>
    </xf>
    <xf numFmtId="0" fontId="0" fillId="3" borderId="0" xfId="0" applyFont="1" applyFill="1" applyAlignment="1">
      <alignment horizontal="right"/>
    </xf>
    <xf numFmtId="0" fontId="0" fillId="3" borderId="0" xfId="0" applyFill="1" applyAlignment="1">
      <alignment horizontal="right"/>
    </xf>
    <xf numFmtId="0" fontId="1" fillId="2" borderId="0" xfId="0" applyFont="1" applyFill="1" applyAlignment="1">
      <alignment horizontal="right"/>
    </xf>
    <xf numFmtId="0" fontId="0" fillId="4" borderId="0" xfId="0" applyFont="1" applyFill="1" applyAlignment="1">
      <alignment horizontal="right"/>
    </xf>
    <xf numFmtId="0" fontId="0" fillId="5" borderId="0" xfId="0" applyFill="1" applyAlignment="1">
      <alignment horizontal="center"/>
    </xf>
    <xf numFmtId="0" fontId="0" fillId="6" borderId="0" xfId="0" applyFill="1" applyAlignment="1">
      <alignment horizontal="right"/>
    </xf>
    <xf numFmtId="15" fontId="0" fillId="6" borderId="0" xfId="0" applyNumberFormat="1" applyFill="1" applyAlignment="1">
      <alignment/>
    </xf>
    <xf numFmtId="0" fontId="0" fillId="6" borderId="0" xfId="0" applyFill="1" applyAlignment="1">
      <alignment/>
    </xf>
    <xf numFmtId="167" fontId="0" fillId="6" borderId="0" xfId="0" applyNumberFormat="1" applyFill="1" applyAlignment="1">
      <alignment/>
    </xf>
    <xf numFmtId="0" fontId="0" fillId="0" borderId="0" xfId="0" applyFill="1" applyAlignment="1">
      <alignment horizontal="right"/>
    </xf>
    <xf numFmtId="38" fontId="1" fillId="0" borderId="0" xfId="0" applyNumberFormat="1" applyFont="1" applyFill="1" applyAlignment="1">
      <alignment horizontal="center" wrapText="1"/>
    </xf>
    <xf numFmtId="9" fontId="0" fillId="0" borderId="0" xfId="0" applyNumberFormat="1" applyAlignment="1">
      <alignment horizontal="center"/>
    </xf>
    <xf numFmtId="38" fontId="0" fillId="5" borderId="1" xfId="0" applyNumberFormat="1" applyFill="1" applyBorder="1" applyAlignment="1">
      <alignment horizontal="right"/>
    </xf>
    <xf numFmtId="38" fontId="0" fillId="0" borderId="1" xfId="0" applyNumberFormat="1" applyBorder="1" applyAlignment="1">
      <alignment horizontal="right"/>
    </xf>
    <xf numFmtId="38" fontId="0" fillId="2" borderId="1" xfId="0" applyNumberFormat="1" applyFill="1" applyBorder="1" applyAlignment="1">
      <alignment horizontal="right"/>
    </xf>
    <xf numFmtId="38" fontId="0" fillId="2" borderId="2" xfId="0" applyNumberFormat="1" applyFill="1" applyBorder="1" applyAlignment="1">
      <alignment horizontal="right"/>
    </xf>
    <xf numFmtId="38" fontId="0" fillId="3" borderId="1" xfId="0" applyNumberFormat="1" applyFill="1" applyBorder="1" applyAlignment="1">
      <alignment horizontal="right"/>
    </xf>
    <xf numFmtId="38" fontId="0" fillId="3" borderId="2" xfId="0" applyNumberFormat="1" applyFill="1" applyBorder="1" applyAlignment="1">
      <alignment horizontal="right"/>
    </xf>
    <xf numFmtId="38" fontId="0" fillId="4" borderId="1" xfId="0" applyNumberFormat="1" applyFill="1" applyBorder="1" applyAlignment="1">
      <alignment horizontal="right"/>
    </xf>
    <xf numFmtId="38" fontId="0" fillId="4" borderId="2" xfId="0" applyNumberFormat="1" applyFill="1" applyBorder="1" applyAlignment="1">
      <alignment horizontal="right"/>
    </xf>
    <xf numFmtId="0" fontId="1" fillId="6" borderId="0" xfId="0" applyFont="1" applyFill="1" applyAlignment="1">
      <alignment horizontal="right"/>
    </xf>
    <xf numFmtId="38" fontId="0" fillId="0" borderId="0" xfId="0" applyNumberFormat="1" applyAlignment="1">
      <alignment/>
    </xf>
    <xf numFmtId="38" fontId="1" fillId="2" borderId="0" xfId="0" applyNumberFormat="1" applyFont="1" applyFill="1" applyAlignment="1">
      <alignment horizontal="center" wrapText="1"/>
    </xf>
    <xf numFmtId="38" fontId="0" fillId="2" borderId="0" xfId="0" applyNumberFormat="1" applyFill="1" applyAlignment="1">
      <alignment horizontal="center"/>
    </xf>
    <xf numFmtId="38"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xf>
    <xf numFmtId="0" fontId="1" fillId="0" borderId="0" xfId="0" applyFont="1" applyFill="1" applyAlignment="1">
      <alignment horizontal="center"/>
    </xf>
    <xf numFmtId="38" fontId="12" fillId="0" borderId="0" xfId="0" applyNumberFormat="1" applyFont="1" applyAlignment="1">
      <alignment horizontal="left"/>
    </xf>
    <xf numFmtId="0" fontId="20" fillId="0" borderId="0" xfId="0" applyFont="1" applyAlignment="1">
      <alignment/>
    </xf>
    <xf numFmtId="38" fontId="0" fillId="2" borderId="3" xfId="0" applyNumberFormat="1" applyFill="1" applyBorder="1" applyAlignment="1">
      <alignment horizontal="right"/>
    </xf>
    <xf numFmtId="38" fontId="0" fillId="0" borderId="4" xfId="0" applyNumberFormat="1" applyBorder="1" applyAlignment="1">
      <alignment horizontal="right"/>
    </xf>
    <xf numFmtId="38" fontId="0" fillId="2" borderId="5" xfId="0" applyNumberFormat="1" applyFill="1" applyBorder="1" applyAlignment="1">
      <alignment horizontal="right"/>
    </xf>
    <xf numFmtId="0" fontId="10" fillId="2" borderId="0" xfId="0" applyFont="1" applyFill="1" applyBorder="1" applyAlignment="1">
      <alignment horizontal="right"/>
    </xf>
    <xf numFmtId="0" fontId="10" fillId="2" borderId="0" xfId="0" applyFont="1" applyFill="1" applyAlignment="1">
      <alignment horizontal="right"/>
    </xf>
    <xf numFmtId="3" fontId="0" fillId="2" borderId="0" xfId="0" applyNumberFormat="1" applyFill="1" applyBorder="1" applyAlignment="1">
      <alignment/>
    </xf>
    <xf numFmtId="0" fontId="1" fillId="3" borderId="0" xfId="0" applyFont="1" applyFill="1" applyAlignment="1">
      <alignment horizontal="right"/>
    </xf>
    <xf numFmtId="3" fontId="0" fillId="3" borderId="0" xfId="0" applyNumberFormat="1" applyFont="1" applyFill="1" applyAlignment="1">
      <alignment horizontal="right"/>
    </xf>
    <xf numFmtId="0" fontId="0" fillId="3" borderId="0" xfId="0" applyFill="1" applyBorder="1" applyAlignment="1">
      <alignment horizontal="right"/>
    </xf>
    <xf numFmtId="3" fontId="0" fillId="3" borderId="6" xfId="0" applyNumberFormat="1" applyFill="1" applyBorder="1" applyAlignment="1">
      <alignment/>
    </xf>
    <xf numFmtId="3" fontId="0" fillId="3" borderId="6" xfId="0" applyNumberFormat="1" applyFont="1" applyFill="1" applyBorder="1" applyAlignment="1">
      <alignment horizontal="right"/>
    </xf>
    <xf numFmtId="3" fontId="0" fillId="3" borderId="0" xfId="0" applyNumberFormat="1" applyFill="1" applyBorder="1" applyAlignment="1">
      <alignment/>
    </xf>
    <xf numFmtId="0" fontId="1" fillId="4" borderId="0" xfId="0" applyFont="1" applyFill="1" applyBorder="1" applyAlignment="1">
      <alignment horizontal="right"/>
    </xf>
    <xf numFmtId="3" fontId="0" fillId="4" borderId="0" xfId="0" applyNumberFormat="1" applyFill="1" applyAlignment="1">
      <alignment/>
    </xf>
    <xf numFmtId="3" fontId="0" fillId="4" borderId="0" xfId="0" applyNumberFormat="1" applyFont="1" applyFill="1" applyAlignment="1">
      <alignment horizontal="right"/>
    </xf>
    <xf numFmtId="0" fontId="0" fillId="4" borderId="0" xfId="0" applyFill="1" applyBorder="1" applyAlignment="1">
      <alignment horizontal="right"/>
    </xf>
    <xf numFmtId="3" fontId="0" fillId="4" borderId="6" xfId="0" applyNumberFormat="1" applyFont="1" applyFill="1" applyBorder="1" applyAlignment="1">
      <alignment horizontal="right"/>
    </xf>
    <xf numFmtId="9" fontId="0" fillId="4" borderId="0" xfId="0" applyNumberFormat="1" applyFont="1" applyFill="1" applyAlignment="1">
      <alignment horizontal="right"/>
    </xf>
    <xf numFmtId="9" fontId="0" fillId="4" borderId="0" xfId="0" applyNumberFormat="1" applyFill="1" applyAlignment="1">
      <alignment/>
    </xf>
    <xf numFmtId="164" fontId="0" fillId="4" borderId="0" xfId="0" applyNumberFormat="1" applyFill="1" applyAlignment="1">
      <alignment/>
    </xf>
    <xf numFmtId="3" fontId="0" fillId="4" borderId="0" xfId="0" applyNumberFormat="1" applyFill="1" applyBorder="1" applyAlignment="1">
      <alignment/>
    </xf>
    <xf numFmtId="0" fontId="10" fillId="0" borderId="0" xfId="0" applyFont="1" applyFill="1" applyAlignment="1">
      <alignment horizontal="right"/>
    </xf>
    <xf numFmtId="0" fontId="1" fillId="0" borderId="0" xfId="0" applyFont="1" applyFill="1" applyAlignment="1">
      <alignment/>
    </xf>
    <xf numFmtId="3" fontId="0" fillId="3" borderId="0" xfId="0" applyNumberFormat="1" applyFill="1" applyAlignment="1">
      <alignment/>
    </xf>
    <xf numFmtId="3" fontId="0" fillId="3" borderId="0" xfId="0" applyNumberFormat="1" applyFill="1" applyAlignment="1">
      <alignment horizontal="right"/>
    </xf>
    <xf numFmtId="3" fontId="0" fillId="3" borderId="6" xfId="0" applyNumberFormat="1" applyFill="1" applyBorder="1" applyAlignment="1">
      <alignment horizontal="right"/>
    </xf>
    <xf numFmtId="4" fontId="0" fillId="4" borderId="0" xfId="0" applyNumberFormat="1" applyFill="1" applyAlignment="1">
      <alignment/>
    </xf>
    <xf numFmtId="3" fontId="0" fillId="4" borderId="0" xfId="0" applyNumberFormat="1" applyFill="1" applyAlignment="1">
      <alignment horizontal="right"/>
    </xf>
    <xf numFmtId="166" fontId="0" fillId="4" borderId="0" xfId="0" applyNumberFormat="1" applyFill="1" applyAlignment="1">
      <alignment/>
    </xf>
    <xf numFmtId="3" fontId="0" fillId="4" borderId="0" xfId="0" applyNumberFormat="1" applyFill="1" applyBorder="1" applyAlignment="1">
      <alignment horizontal="right"/>
    </xf>
    <xf numFmtId="3" fontId="0" fillId="4" borderId="6" xfId="0" applyNumberFormat="1" applyFill="1" applyBorder="1" applyAlignment="1">
      <alignment/>
    </xf>
    <xf numFmtId="3" fontId="0" fillId="4" borderId="6" xfId="0" applyNumberFormat="1" applyFill="1" applyBorder="1" applyAlignment="1">
      <alignment horizontal="right"/>
    </xf>
    <xf numFmtId="0" fontId="16" fillId="3" borderId="0" xfId="0" applyFont="1" applyFill="1" applyAlignment="1">
      <alignment wrapText="1"/>
    </xf>
    <xf numFmtId="3" fontId="16" fillId="3" borderId="0" xfId="0" applyNumberFormat="1" applyFont="1" applyFill="1" applyAlignment="1">
      <alignment horizontal="right" wrapText="1"/>
    </xf>
    <xf numFmtId="3" fontId="16" fillId="3" borderId="0" xfId="0" applyNumberFormat="1" applyFont="1" applyFill="1" applyAlignment="1">
      <alignment horizontal="right"/>
    </xf>
    <xf numFmtId="0" fontId="16" fillId="3" borderId="0" xfId="0" applyFont="1" applyFill="1" applyAlignment="1">
      <alignment horizontal="right" wrapText="1"/>
    </xf>
    <xf numFmtId="0" fontId="0" fillId="3" borderId="6" xfId="0" applyFill="1" applyBorder="1" applyAlignment="1">
      <alignment/>
    </xf>
    <xf numFmtId="167" fontId="1" fillId="3" borderId="0" xfId="0" applyNumberFormat="1" applyFont="1" applyFill="1" applyAlignment="1">
      <alignment/>
    </xf>
    <xf numFmtId="166" fontId="1" fillId="3" borderId="0" xfId="0" applyNumberFormat="1" applyFont="1" applyFill="1" applyAlignment="1">
      <alignment horizontal="right"/>
    </xf>
    <xf numFmtId="0" fontId="16" fillId="4" borderId="0" xfId="0" applyFont="1" applyFill="1" applyAlignment="1">
      <alignment wrapText="1"/>
    </xf>
    <xf numFmtId="3" fontId="16" fillId="4" borderId="0" xfId="0" applyNumberFormat="1" applyFont="1" applyFill="1" applyAlignment="1">
      <alignment horizontal="right" wrapText="1"/>
    </xf>
    <xf numFmtId="3" fontId="16" fillId="4" borderId="0" xfId="0" applyNumberFormat="1" applyFont="1" applyFill="1" applyAlignment="1">
      <alignment horizontal="right"/>
    </xf>
    <xf numFmtId="0" fontId="16" fillId="4" borderId="0" xfId="0" applyFont="1" applyFill="1" applyAlignment="1">
      <alignment horizontal="right" wrapText="1"/>
    </xf>
    <xf numFmtId="0" fontId="0" fillId="4" borderId="6" xfId="0" applyFill="1" applyBorder="1" applyAlignment="1">
      <alignment/>
    </xf>
    <xf numFmtId="0" fontId="1" fillId="4" borderId="0" xfId="0" applyFont="1" applyFill="1" applyAlignment="1">
      <alignment horizontal="right"/>
    </xf>
    <xf numFmtId="167" fontId="1" fillId="4" borderId="0" xfId="0" applyNumberFormat="1" applyFont="1" applyFill="1" applyAlignment="1">
      <alignment/>
    </xf>
    <xf numFmtId="166" fontId="1" fillId="4" borderId="0" xfId="0" applyNumberFormat="1" applyFont="1" applyFill="1" applyAlignment="1">
      <alignment horizontal="right"/>
    </xf>
    <xf numFmtId="0" fontId="0" fillId="5" borderId="7" xfId="0" applyFill="1" applyBorder="1" applyAlignment="1">
      <alignment/>
    </xf>
    <xf numFmtId="3" fontId="0" fillId="5" borderId="8" xfId="0" applyNumberFormat="1" applyFill="1" applyBorder="1" applyAlignment="1">
      <alignment horizontal="right"/>
    </xf>
    <xf numFmtId="3" fontId="0" fillId="5" borderId="9" xfId="0" applyNumberFormat="1" applyFill="1" applyBorder="1" applyAlignment="1">
      <alignment horizontal="right"/>
    </xf>
    <xf numFmtId="3" fontId="1" fillId="5" borderId="10" xfId="0" applyNumberFormat="1" applyFont="1" applyFill="1" applyBorder="1" applyAlignment="1">
      <alignment horizontal="right"/>
    </xf>
    <xf numFmtId="3" fontId="0" fillId="5" borderId="0" xfId="0" applyNumberFormat="1" applyFill="1" applyBorder="1" applyAlignment="1">
      <alignment horizontal="right"/>
    </xf>
    <xf numFmtId="3" fontId="0" fillId="5" borderId="11" xfId="0" applyNumberFormat="1" applyFill="1" applyBorder="1" applyAlignment="1">
      <alignment horizontal="right"/>
    </xf>
    <xf numFmtId="0" fontId="0" fillId="5" borderId="10" xfId="0" applyFill="1" applyBorder="1" applyAlignment="1">
      <alignment/>
    </xf>
    <xf numFmtId="0" fontId="1" fillId="5" borderId="10" xfId="0" applyFont="1" applyFill="1" applyBorder="1" applyAlignment="1">
      <alignment horizontal="right"/>
    </xf>
    <xf numFmtId="3" fontId="1" fillId="5" borderId="0" xfId="0" applyNumberFormat="1" applyFont="1" applyFill="1" applyBorder="1" applyAlignment="1">
      <alignment horizontal="right"/>
    </xf>
    <xf numFmtId="0" fontId="0" fillId="5" borderId="10" xfId="0" applyFill="1" applyBorder="1" applyAlignment="1">
      <alignment horizontal="right"/>
    </xf>
    <xf numFmtId="3" fontId="0" fillId="5" borderId="6" xfId="0" applyNumberFormat="1" applyFill="1" applyBorder="1" applyAlignment="1">
      <alignment horizontal="right"/>
    </xf>
    <xf numFmtId="0" fontId="0" fillId="5" borderId="12" xfId="0" applyFill="1" applyBorder="1" applyAlignment="1">
      <alignment/>
    </xf>
    <xf numFmtId="3" fontId="0" fillId="5" borderId="13" xfId="0" applyNumberFormat="1" applyFill="1" applyBorder="1" applyAlignment="1">
      <alignment horizontal="right"/>
    </xf>
    <xf numFmtId="3" fontId="0" fillId="5" borderId="14" xfId="0" applyNumberFormat="1" applyFill="1" applyBorder="1" applyAlignment="1">
      <alignment horizontal="right"/>
    </xf>
    <xf numFmtId="3" fontId="6" fillId="3" borderId="0" xfId="0" applyNumberFormat="1" applyFont="1" applyFill="1" applyAlignment="1">
      <alignment horizontal="left"/>
    </xf>
    <xf numFmtId="3" fontId="7" fillId="3" borderId="0" xfId="0" applyNumberFormat="1" applyFont="1" applyFill="1" applyAlignment="1">
      <alignment horizontal="right"/>
    </xf>
    <xf numFmtId="3" fontId="18" fillId="3" borderId="0" xfId="0" applyNumberFormat="1" applyFont="1" applyFill="1" applyAlignment="1">
      <alignment horizontal="right"/>
    </xf>
    <xf numFmtId="0" fontId="21" fillId="3" borderId="0" xfId="0" applyFont="1" applyFill="1" applyAlignment="1">
      <alignment horizontal="right"/>
    </xf>
    <xf numFmtId="0" fontId="22" fillId="3" borderId="0" xfId="0" applyFont="1" applyFill="1" applyAlignment="1">
      <alignment/>
    </xf>
    <xf numFmtId="0" fontId="21" fillId="3" borderId="0" xfId="0" applyFont="1" applyFill="1" applyAlignment="1">
      <alignment/>
    </xf>
    <xf numFmtId="1" fontId="22" fillId="3" borderId="0" xfId="0" applyNumberFormat="1" applyFont="1" applyFill="1" applyAlignment="1">
      <alignment horizontal="right"/>
    </xf>
    <xf numFmtId="3" fontId="22" fillId="3" borderId="0" xfId="0" applyNumberFormat="1" applyFont="1" applyFill="1" applyAlignment="1">
      <alignment/>
    </xf>
    <xf numFmtId="9" fontId="22" fillId="3" borderId="0" xfId="0" applyNumberFormat="1" applyFont="1" applyFill="1" applyAlignment="1">
      <alignment/>
    </xf>
    <xf numFmtId="3" fontId="22" fillId="3" borderId="6" xfId="0" applyNumberFormat="1" applyFont="1" applyFill="1" applyBorder="1" applyAlignment="1">
      <alignment/>
    </xf>
    <xf numFmtId="9" fontId="22" fillId="3" borderId="6" xfId="0" applyNumberFormat="1" applyFont="1" applyFill="1" applyBorder="1" applyAlignment="1">
      <alignment/>
    </xf>
    <xf numFmtId="1" fontId="21" fillId="3" borderId="0" xfId="0" applyNumberFormat="1" applyFont="1" applyFill="1" applyAlignment="1">
      <alignment horizontal="right"/>
    </xf>
    <xf numFmtId="0" fontId="21" fillId="4" borderId="0" xfId="0" applyFont="1" applyFill="1" applyAlignment="1">
      <alignment/>
    </xf>
    <xf numFmtId="0" fontId="22" fillId="4" borderId="0" xfId="0" applyFont="1" applyFill="1" applyAlignment="1">
      <alignment/>
    </xf>
    <xf numFmtId="0" fontId="23" fillId="4" borderId="0" xfId="0" applyFont="1" applyFill="1" applyAlignment="1">
      <alignment/>
    </xf>
    <xf numFmtId="0" fontId="24" fillId="4" borderId="0" xfId="0" applyFont="1" applyFill="1" applyAlignment="1">
      <alignment horizontal="center"/>
    </xf>
    <xf numFmtId="0" fontId="25" fillId="4" borderId="0" xfId="0" applyFont="1" applyFill="1" applyAlignment="1">
      <alignment horizontal="right"/>
    </xf>
    <xf numFmtId="0" fontId="25" fillId="4" borderId="0" xfId="0" applyFont="1" applyFill="1" applyAlignment="1" quotePrefix="1">
      <alignment horizontal="right"/>
    </xf>
    <xf numFmtId="16" fontId="25" fillId="4" borderId="0" xfId="0" applyNumberFormat="1" applyFont="1" applyFill="1" applyAlignment="1" quotePrefix="1">
      <alignment horizontal="right"/>
    </xf>
    <xf numFmtId="0" fontId="25" fillId="4" borderId="0" xfId="0" applyNumberFormat="1" applyFont="1" applyFill="1" applyAlignment="1" quotePrefix="1">
      <alignment horizontal="right"/>
    </xf>
    <xf numFmtId="166" fontId="25" fillId="4" borderId="0" xfId="0" applyNumberFormat="1" applyFont="1" applyFill="1" applyAlignment="1">
      <alignment horizontal="right"/>
    </xf>
    <xf numFmtId="3" fontId="22" fillId="4" borderId="0" xfId="0" applyNumberFormat="1" applyFont="1" applyFill="1" applyAlignment="1">
      <alignment horizontal="right"/>
    </xf>
    <xf numFmtId="0" fontId="22" fillId="4" borderId="0" xfId="0" applyFont="1" applyFill="1" applyAlignment="1">
      <alignment/>
    </xf>
    <xf numFmtId="0" fontId="22" fillId="4" borderId="13" xfId="0" applyFont="1" applyFill="1" applyBorder="1" applyAlignment="1">
      <alignment/>
    </xf>
    <xf numFmtId="0" fontId="22" fillId="4" borderId="13" xfId="0" applyFont="1" applyFill="1" applyBorder="1" applyAlignment="1">
      <alignment horizontal="right"/>
    </xf>
    <xf numFmtId="3" fontId="21" fillId="4" borderId="0" xfId="0" applyNumberFormat="1" applyFont="1" applyFill="1" applyAlignment="1">
      <alignment/>
    </xf>
    <xf numFmtId="0" fontId="9" fillId="3" borderId="0" xfId="0" applyFont="1" applyFill="1" applyAlignment="1">
      <alignment horizontal="left"/>
    </xf>
    <xf numFmtId="38" fontId="0" fillId="3" borderId="0" xfId="0" applyNumberFormat="1" applyFill="1" applyAlignment="1">
      <alignment/>
    </xf>
    <xf numFmtId="38" fontId="0" fillId="3" borderId="0" xfId="0" applyNumberFormat="1" applyFill="1" applyAlignment="1">
      <alignment horizontal="center"/>
    </xf>
    <xf numFmtId="38" fontId="1" fillId="3" borderId="0" xfId="0" applyNumberFormat="1" applyFont="1" applyFill="1" applyAlignment="1">
      <alignment/>
    </xf>
    <xf numFmtId="0" fontId="9" fillId="4" borderId="0" xfId="0" applyFont="1" applyFill="1" applyAlignment="1">
      <alignment horizontal="left"/>
    </xf>
    <xf numFmtId="38" fontId="1" fillId="4" borderId="0" xfId="0" applyNumberFormat="1" applyFont="1" applyFill="1" applyAlignment="1">
      <alignment horizontal="center" wrapText="1"/>
    </xf>
    <xf numFmtId="38" fontId="0" fillId="4" borderId="0" xfId="0" applyNumberFormat="1" applyFill="1" applyAlignment="1">
      <alignment horizontal="center"/>
    </xf>
    <xf numFmtId="38" fontId="1" fillId="4" borderId="0" xfId="0" applyNumberFormat="1" applyFont="1" applyFill="1" applyAlignment="1">
      <alignment/>
    </xf>
    <xf numFmtId="0" fontId="0" fillId="5" borderId="0" xfId="0" applyFill="1" applyAlignment="1">
      <alignment/>
    </xf>
    <xf numFmtId="38" fontId="1" fillId="5" borderId="0" xfId="0" applyNumberFormat="1" applyFont="1" applyFill="1" applyAlignment="1">
      <alignment horizontal="center" wrapText="1"/>
    </xf>
    <xf numFmtId="38" fontId="0" fillId="5" borderId="0" xfId="0" applyNumberFormat="1" applyFill="1" applyAlignment="1">
      <alignment/>
    </xf>
    <xf numFmtId="38" fontId="1" fillId="5" borderId="0" xfId="0" applyNumberFormat="1" applyFont="1" applyFill="1" applyAlignment="1">
      <alignment/>
    </xf>
    <xf numFmtId="0" fontId="0" fillId="5" borderId="6" xfId="0" applyFill="1" applyBorder="1" applyAlignment="1">
      <alignment/>
    </xf>
    <xf numFmtId="0" fontId="9" fillId="5" borderId="0" xfId="0" applyFont="1" applyFill="1" applyAlignment="1">
      <alignment horizontal="left"/>
    </xf>
    <xf numFmtId="38" fontId="10" fillId="3" borderId="15" xfId="0" applyNumberFormat="1" applyFont="1" applyFill="1" applyBorder="1" applyAlignment="1">
      <alignment horizontal="center"/>
    </xf>
    <xf numFmtId="38" fontId="10" fillId="3" borderId="5" xfId="0" applyNumberFormat="1" applyFont="1" applyFill="1" applyBorder="1" applyAlignment="1">
      <alignment horizontal="center"/>
    </xf>
    <xf numFmtId="38" fontId="10" fillId="4" borderId="0" xfId="0" applyNumberFormat="1" applyFont="1" applyFill="1" applyAlignment="1">
      <alignment horizontal="right"/>
    </xf>
    <xf numFmtId="38" fontId="10" fillId="4" borderId="6" xfId="0" applyNumberFormat="1" applyFont="1" applyFill="1" applyBorder="1" applyAlignment="1">
      <alignment horizontal="right"/>
    </xf>
    <xf numFmtId="38" fontId="10" fillId="5" borderId="0" xfId="0" applyNumberFormat="1" applyFont="1" applyFill="1" applyAlignment="1">
      <alignment/>
    </xf>
    <xf numFmtId="38" fontId="10" fillId="5" borderId="6" xfId="0" applyNumberFormat="1" applyFont="1" applyFill="1" applyBorder="1" applyAlignment="1">
      <alignment/>
    </xf>
    <xf numFmtId="3" fontId="15" fillId="0" borderId="0" xfId="0" applyNumberFormat="1" applyFont="1" applyAlignment="1">
      <alignment/>
    </xf>
    <xf numFmtId="3" fontId="15" fillId="0" borderId="0" xfId="0" applyNumberFormat="1" applyFont="1" applyFill="1" applyAlignment="1">
      <alignment horizontal="left"/>
    </xf>
    <xf numFmtId="10" fontId="0" fillId="4" borderId="1" xfId="0" applyNumberFormat="1" applyFill="1" applyBorder="1" applyAlignment="1">
      <alignment horizontal="right"/>
    </xf>
    <xf numFmtId="0" fontId="15" fillId="3" borderId="0" xfId="0" applyFont="1" applyFill="1" applyAlignment="1">
      <alignment horizontal="center"/>
    </xf>
    <xf numFmtId="0" fontId="15" fillId="4" borderId="0" xfId="0" applyFont="1" applyFill="1" applyAlignment="1">
      <alignment horizontal="center"/>
    </xf>
    <xf numFmtId="38" fontId="26" fillId="5" borderId="0" xfId="0" applyNumberFormat="1" applyFont="1" applyFill="1" applyAlignment="1">
      <alignment/>
    </xf>
    <xf numFmtId="10" fontId="0" fillId="4" borderId="0" xfId="0" applyNumberFormat="1" applyFill="1" applyBorder="1" applyAlignment="1">
      <alignment/>
    </xf>
    <xf numFmtId="3" fontId="0" fillId="4" borderId="0" xfId="0" applyNumberFormat="1" applyFont="1" applyFill="1" applyBorder="1" applyAlignment="1">
      <alignment horizontal="right"/>
    </xf>
    <xf numFmtId="3" fontId="0" fillId="2" borderId="0" xfId="0" applyNumberFormat="1" applyFont="1" applyFill="1" applyBorder="1" applyAlignment="1">
      <alignment horizontal="right"/>
    </xf>
    <xf numFmtId="3" fontId="0" fillId="4" borderId="16" xfId="0" applyNumberFormat="1" applyFill="1" applyBorder="1" applyAlignment="1">
      <alignment/>
    </xf>
    <xf numFmtId="3" fontId="0" fillId="4" borderId="16" xfId="0" applyNumberFormat="1" applyFont="1" applyFill="1" applyBorder="1" applyAlignment="1">
      <alignment horizontal="right"/>
    </xf>
    <xf numFmtId="0" fontId="15" fillId="0" borderId="0" xfId="0" applyFont="1" applyAlignment="1">
      <alignment horizontal="right"/>
    </xf>
    <xf numFmtId="0" fontId="15" fillId="5" borderId="0" xfId="0" applyFont="1" applyFill="1" applyAlignment="1">
      <alignment horizontal="right"/>
    </xf>
    <xf numFmtId="38" fontId="15" fillId="5" borderId="0" xfId="0" applyNumberFormat="1" applyFont="1" applyFill="1" applyAlignment="1">
      <alignment horizontal="right"/>
    </xf>
    <xf numFmtId="0" fontId="1" fillId="3" borderId="0" xfId="0" applyFont="1" applyFill="1" applyAlignment="1">
      <alignment/>
    </xf>
    <xf numFmtId="0" fontId="0" fillId="4" borderId="0" xfId="0" applyFont="1" applyFill="1" applyBorder="1" applyAlignment="1">
      <alignment horizontal="right"/>
    </xf>
    <xf numFmtId="3" fontId="1" fillId="4" borderId="0" xfId="0" applyNumberFormat="1" applyFont="1" applyFill="1" applyAlignment="1">
      <alignment/>
    </xf>
    <xf numFmtId="0" fontId="12" fillId="0" borderId="0" xfId="0" applyFont="1" applyAlignment="1">
      <alignment/>
    </xf>
    <xf numFmtId="0" fontId="27" fillId="4" borderId="0" xfId="0" applyFont="1" applyFill="1" applyAlignment="1">
      <alignment horizontal="right" vertical="center"/>
    </xf>
    <xf numFmtId="0" fontId="28" fillId="4" borderId="0" xfId="21" applyFont="1" applyFill="1" applyAlignment="1">
      <alignment horizontal="right"/>
      <protection/>
    </xf>
    <xf numFmtId="0" fontId="27" fillId="4" borderId="0" xfId="0" applyFont="1" applyFill="1" applyAlignment="1">
      <alignment horizontal="right"/>
    </xf>
    <xf numFmtId="0" fontId="27" fillId="4" borderId="13" xfId="0" applyFont="1" applyFill="1" applyBorder="1" applyAlignment="1">
      <alignment horizontal="right"/>
    </xf>
    <xf numFmtId="0" fontId="29" fillId="0" borderId="0" xfId="0" applyFont="1" applyFill="1" applyAlignment="1">
      <alignment/>
    </xf>
    <xf numFmtId="0" fontId="29"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8" fontId="0" fillId="0" borderId="0" xfId="0" applyNumberFormat="1" applyFont="1" applyAlignment="1">
      <alignment horizontal="right"/>
    </xf>
    <xf numFmtId="38" fontId="0" fillId="0" borderId="0" xfId="0" applyNumberFormat="1"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10" fontId="0" fillId="0" borderId="0" xfId="0" applyNumberFormat="1" applyFont="1" applyFill="1" applyAlignment="1">
      <alignment/>
    </xf>
    <xf numFmtId="38" fontId="0" fillId="5" borderId="0" xfId="0" applyNumberFormat="1" applyFont="1" applyFill="1" applyAlignment="1">
      <alignment horizontal="center"/>
    </xf>
    <xf numFmtId="38" fontId="0" fillId="5" borderId="0" xfId="0" applyNumberFormat="1" applyFont="1" applyFill="1" applyAlignment="1">
      <alignment horizontal="right"/>
    </xf>
    <xf numFmtId="38" fontId="0" fillId="5" borderId="6" xfId="0" applyNumberFormat="1"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8" fontId="0" fillId="5" borderId="0" xfId="0" applyNumberFormat="1" applyFont="1" applyFill="1" applyAlignment="1">
      <alignment horizontal="center"/>
    </xf>
    <xf numFmtId="38" fontId="0" fillId="5" borderId="0" xfId="0" applyNumberFormat="1" applyFont="1" applyFill="1" applyAlignment="1">
      <alignment horizontal="right"/>
    </xf>
    <xf numFmtId="38" fontId="0" fillId="5" borderId="6" xfId="0" applyNumberFormat="1" applyFont="1" applyFill="1" applyBorder="1" applyAlignment="1">
      <alignment horizontal="center"/>
    </xf>
    <xf numFmtId="38" fontId="0" fillId="0" borderId="0" xfId="0" applyNumberFormat="1" applyFont="1" applyAlignment="1">
      <alignment horizontal="center"/>
    </xf>
    <xf numFmtId="3" fontId="20" fillId="0" borderId="0" xfId="0" applyNumberFormat="1" applyFont="1" applyAlignment="1">
      <alignment horizontal="left"/>
    </xf>
    <xf numFmtId="0" fontId="0" fillId="3" borderId="0" xfId="0"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Printers-computers TCO.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150" zoomScaleNormal="150" workbookViewId="0" topLeftCell="A1">
      <selection activeCell="A41" sqref="A41:IV47"/>
    </sheetView>
  </sheetViews>
  <sheetFormatPr defaultColWidth="11.00390625" defaultRowHeight="12.75"/>
  <cols>
    <col min="1" max="1" width="4.625" style="0" customWidth="1"/>
    <col min="2" max="2" width="10.375" style="0" customWidth="1"/>
    <col min="4" max="4" width="12.125" style="0" customWidth="1"/>
    <col min="7" max="7" width="2.375" style="0" customWidth="1"/>
    <col min="8" max="8" width="10.00390625" style="0" customWidth="1"/>
    <col min="9" max="9" width="12.125" style="0" customWidth="1"/>
  </cols>
  <sheetData>
    <row r="1" ht="22.5">
      <c r="A1" s="83" t="s">
        <v>159</v>
      </c>
    </row>
    <row r="3" spans="1:9" ht="18">
      <c r="A3" s="79"/>
      <c r="B3" s="80"/>
      <c r="C3" s="171" t="s">
        <v>110</v>
      </c>
      <c r="D3" s="25"/>
      <c r="E3" s="25"/>
      <c r="F3" s="23"/>
      <c r="H3" s="184" t="s">
        <v>9</v>
      </c>
      <c r="I3" s="179"/>
    </row>
    <row r="4" spans="1:9" ht="12.75">
      <c r="A4" s="79"/>
      <c r="B4" s="80"/>
      <c r="C4" s="194"/>
      <c r="D4" s="194"/>
      <c r="E4" s="25"/>
      <c r="F4" s="194">
        <v>330</v>
      </c>
      <c r="H4" s="179"/>
      <c r="I4" s="179"/>
    </row>
    <row r="5" spans="1:9" ht="12.75">
      <c r="A5" s="81" t="s">
        <v>50</v>
      </c>
      <c r="B5" s="41" t="s">
        <v>61</v>
      </c>
      <c r="C5" s="52" t="s">
        <v>104</v>
      </c>
      <c r="D5" s="52" t="s">
        <v>105</v>
      </c>
      <c r="E5" s="52" t="s">
        <v>106</v>
      </c>
      <c r="F5" s="52" t="s">
        <v>67</v>
      </c>
      <c r="H5" s="180" t="s">
        <v>10</v>
      </c>
      <c r="I5" s="180" t="s">
        <v>11</v>
      </c>
    </row>
    <row r="6" spans="1:9" ht="12.75">
      <c r="A6" s="79">
        <v>1</v>
      </c>
      <c r="B6" s="1" t="s">
        <v>112</v>
      </c>
      <c r="C6" s="172">
        <f>'FH Results'!E3</f>
        <v>168314.92782977986</v>
      </c>
      <c r="D6" s="173">
        <f>'DA Results'!E3</f>
        <v>232559.70658744368</v>
      </c>
      <c r="E6" s="173">
        <f>'CS Results'!E3</f>
        <v>7855.785466746485</v>
      </c>
      <c r="F6" s="185">
        <f aca="true" t="shared" si="0" ref="F6:F18">SUM(C6:E6)</f>
        <v>408730.41988397</v>
      </c>
      <c r="H6" s="181">
        <f>F6</f>
        <v>408730.41988397</v>
      </c>
      <c r="I6" s="181">
        <f>F6-H6</f>
        <v>0</v>
      </c>
    </row>
    <row r="7" spans="1:9" ht="12.75">
      <c r="A7" s="79">
        <v>2</v>
      </c>
      <c r="B7" s="1" t="s">
        <v>113</v>
      </c>
      <c r="C7" s="172">
        <f>'FH Results'!E4</f>
        <v>336629.8556595597</v>
      </c>
      <c r="D7" s="173">
        <f>'DA Results'!E4</f>
        <v>465119.41317488736</v>
      </c>
      <c r="E7" s="173">
        <f>'CS Results'!E4</f>
        <v>15711.57093349297</v>
      </c>
      <c r="F7" s="185">
        <f t="shared" si="0"/>
        <v>817460.83976794</v>
      </c>
      <c r="H7" s="181">
        <f>F7</f>
        <v>817460.83976794</v>
      </c>
      <c r="I7" s="181">
        <f aca="true" t="shared" si="1" ref="I7:I20">F7-H7</f>
        <v>0</v>
      </c>
    </row>
    <row r="8" spans="1:9" ht="12.75">
      <c r="A8" s="79">
        <v>3</v>
      </c>
      <c r="B8" s="1" t="s">
        <v>114</v>
      </c>
      <c r="C8" s="172">
        <f>'FH Results'!E5</f>
        <v>336629.8556595597</v>
      </c>
      <c r="D8" s="173">
        <f>'DA Results'!E5</f>
        <v>465119.41317488736</v>
      </c>
      <c r="E8" s="173">
        <f>'CS Results'!E5</f>
        <v>15711.57093349297</v>
      </c>
      <c r="F8" s="185">
        <f t="shared" si="0"/>
        <v>817460.83976794</v>
      </c>
      <c r="H8" s="181">
        <f>H20-SUM(H6:H7)</f>
        <v>525867.29034809</v>
      </c>
      <c r="I8" s="189">
        <f t="shared" si="1"/>
        <v>291593.54941985</v>
      </c>
    </row>
    <row r="9" spans="1:9" ht="12.75">
      <c r="A9" s="79">
        <v>4</v>
      </c>
      <c r="B9" s="1" t="s">
        <v>115</v>
      </c>
      <c r="C9" s="172">
        <f>'FH Results'!E6</f>
        <v>336629.8556595597</v>
      </c>
      <c r="D9" s="173">
        <f>'DA Results'!E6</f>
        <v>465119.41317488736</v>
      </c>
      <c r="E9" s="173">
        <f>'CS Results'!E6</f>
        <v>15711.57093349297</v>
      </c>
      <c r="F9" s="185">
        <f t="shared" si="0"/>
        <v>817460.83976794</v>
      </c>
      <c r="H9" s="181"/>
      <c r="I9" s="189">
        <f t="shared" si="1"/>
        <v>817460.83976794</v>
      </c>
    </row>
    <row r="10" spans="1:9" ht="12.75">
      <c r="A10" s="79">
        <v>5</v>
      </c>
      <c r="B10" s="1" t="s">
        <v>116</v>
      </c>
      <c r="C10" s="172">
        <f>'FH Results'!E7</f>
        <v>336629.8556595597</v>
      </c>
      <c r="D10" s="173">
        <f>'DA Results'!E7</f>
        <v>465119.41317488736</v>
      </c>
      <c r="E10" s="173">
        <f>'CS Results'!E7</f>
        <v>15711.57093349297</v>
      </c>
      <c r="F10" s="185">
        <f t="shared" si="0"/>
        <v>817460.83976794</v>
      </c>
      <c r="H10" s="181"/>
      <c r="I10" s="189">
        <f t="shared" si="1"/>
        <v>817460.83976794</v>
      </c>
    </row>
    <row r="11" spans="1:9" ht="12.75">
      <c r="A11" s="79">
        <v>6</v>
      </c>
      <c r="B11" s="1" t="s">
        <v>117</v>
      </c>
      <c r="C11" s="172">
        <f>'FH Results'!E8</f>
        <v>208710.51050892702</v>
      </c>
      <c r="D11" s="173">
        <f>'DA Results'!E8</f>
        <v>325583.5892224211</v>
      </c>
      <c r="E11" s="173">
        <f>'CS Results'!E8</f>
        <v>15711.57093349297</v>
      </c>
      <c r="F11" s="185">
        <f t="shared" si="0"/>
        <v>550005.6706648411</v>
      </c>
      <c r="H11" s="181"/>
      <c r="I11" s="189">
        <f t="shared" si="1"/>
        <v>550005.6706648411</v>
      </c>
    </row>
    <row r="12" spans="1:9" ht="12.75">
      <c r="A12" s="79">
        <v>7</v>
      </c>
      <c r="B12" s="1" t="s">
        <v>118</v>
      </c>
      <c r="C12" s="172">
        <f>'FH Results'!E9</f>
        <v>205344.21195233142</v>
      </c>
      <c r="D12" s="173">
        <f>'DA Results'!E9</f>
        <v>316281.20095892344</v>
      </c>
      <c r="E12" s="173">
        <f>'CS Results'!E9</f>
        <v>15711.57093349297</v>
      </c>
      <c r="F12" s="185">
        <f t="shared" si="0"/>
        <v>537336.9838447478</v>
      </c>
      <c r="H12" s="179"/>
      <c r="I12" s="189">
        <f t="shared" si="1"/>
        <v>537336.9838447478</v>
      </c>
    </row>
    <row r="13" spans="1:9" ht="12.75">
      <c r="A13" s="79">
        <v>8</v>
      </c>
      <c r="B13" s="1" t="s">
        <v>119</v>
      </c>
      <c r="C13" s="172">
        <f>'FH Results'!E10</f>
        <v>198611.6148391402</v>
      </c>
      <c r="D13" s="173">
        <f>'DA Results'!E10</f>
        <v>302327.6185636768</v>
      </c>
      <c r="E13" s="173">
        <f>'CS Results'!E10</f>
        <v>15711.57093349297</v>
      </c>
      <c r="F13" s="185">
        <f t="shared" si="0"/>
        <v>516650.80433630996</v>
      </c>
      <c r="H13" s="179"/>
      <c r="I13" s="189">
        <f t="shared" si="1"/>
        <v>516650.80433630996</v>
      </c>
    </row>
    <row r="14" spans="1:9" ht="12.75">
      <c r="A14" s="79">
        <v>9</v>
      </c>
      <c r="B14" s="1" t="s">
        <v>120</v>
      </c>
      <c r="C14" s="172">
        <f>'FH Results'!E11</f>
        <v>195245.31628254463</v>
      </c>
      <c r="D14" s="173">
        <f>'DA Results'!E11</f>
        <v>288374.0361684302</v>
      </c>
      <c r="E14" s="173">
        <f>'CS Results'!E11</f>
        <v>15711.57093349297</v>
      </c>
      <c r="F14" s="185">
        <f t="shared" si="0"/>
        <v>499330.9233844678</v>
      </c>
      <c r="H14" s="179"/>
      <c r="I14" s="189">
        <f t="shared" si="1"/>
        <v>499330.9233844678</v>
      </c>
    </row>
    <row r="15" spans="1:9" ht="12.75">
      <c r="A15" s="79">
        <v>10</v>
      </c>
      <c r="B15" s="1" t="s">
        <v>121</v>
      </c>
      <c r="C15" s="172">
        <f>'FH Results'!E12</f>
        <v>188512.71916935346</v>
      </c>
      <c r="D15" s="173">
        <f>'DA Results'!E12</f>
        <v>274420.4537731835</v>
      </c>
      <c r="E15" s="173">
        <f>'CS Results'!E12</f>
        <v>15711.57093349297</v>
      </c>
      <c r="F15" s="185">
        <f t="shared" si="0"/>
        <v>478644.74387602997</v>
      </c>
      <c r="H15" s="179"/>
      <c r="I15" s="189">
        <f t="shared" si="1"/>
        <v>478644.74387602997</v>
      </c>
    </row>
    <row r="16" spans="1:9" ht="12.75">
      <c r="A16" s="79">
        <v>11</v>
      </c>
      <c r="B16" s="1" t="s">
        <v>122</v>
      </c>
      <c r="C16" s="172">
        <f>'FH Results'!E13</f>
        <v>181780.12205616225</v>
      </c>
      <c r="D16" s="173">
        <f>'DA Results'!E13</f>
        <v>260466.87137793694</v>
      </c>
      <c r="E16" s="173">
        <f>'CS Results'!E13</f>
        <v>15711.57093349297</v>
      </c>
      <c r="F16" s="185">
        <f t="shared" si="0"/>
        <v>457958.56436759216</v>
      </c>
      <c r="H16" s="179"/>
      <c r="I16" s="189">
        <f t="shared" si="1"/>
        <v>457958.56436759216</v>
      </c>
    </row>
    <row r="17" spans="1:9" ht="12.75">
      <c r="A17" s="79">
        <v>12</v>
      </c>
      <c r="B17" s="1" t="s">
        <v>123</v>
      </c>
      <c r="C17" s="172">
        <f>'FH Results'!E14</f>
        <v>175047.52494297107</v>
      </c>
      <c r="D17" s="173">
        <f>'DA Results'!E14</f>
        <v>246513.2889826903</v>
      </c>
      <c r="E17" s="173">
        <f>'CS Results'!E14</f>
        <v>15711.57093349297</v>
      </c>
      <c r="F17" s="185">
        <f t="shared" si="0"/>
        <v>437272.38485915435</v>
      </c>
      <c r="H17" s="179"/>
      <c r="I17" s="189">
        <f t="shared" si="1"/>
        <v>437272.38485915435</v>
      </c>
    </row>
    <row r="18" spans="1:9" ht="12.75">
      <c r="A18" s="79">
        <v>13</v>
      </c>
      <c r="B18" s="1" t="s">
        <v>124</v>
      </c>
      <c r="C18" s="172">
        <f>'FH Results'!E15</f>
        <v>167260.7789141306</v>
      </c>
      <c r="D18" s="173">
        <f>'DA Results'!E15</f>
        <v>231711.29024912085</v>
      </c>
      <c r="E18" s="173">
        <f>'CS Results'!E15</f>
        <v>15711.57093349297</v>
      </c>
      <c r="F18" s="186">
        <f t="shared" si="0"/>
        <v>414683.6400967444</v>
      </c>
      <c r="H18" s="183"/>
      <c r="I18" s="190">
        <f t="shared" si="1"/>
        <v>414683.6400967444</v>
      </c>
    </row>
    <row r="19" spans="1:9" ht="12.75">
      <c r="A19" s="79"/>
      <c r="B19" s="80"/>
      <c r="C19" s="23"/>
      <c r="D19" s="25"/>
      <c r="E19" s="25"/>
      <c r="F19" s="23"/>
      <c r="H19" s="196">
        <f>SUM(H6:H18)</f>
        <v>1752058.55</v>
      </c>
      <c r="I19" s="181"/>
    </row>
    <row r="20" spans="1:10" ht="12.75">
      <c r="A20" s="79"/>
      <c r="B20" s="80"/>
      <c r="C20" s="23"/>
      <c r="D20" s="25"/>
      <c r="E20" s="90" t="s">
        <v>6</v>
      </c>
      <c r="F20" s="174">
        <f>SUM(F6:F19)</f>
        <v>7570457.494385618</v>
      </c>
      <c r="H20" s="182">
        <f>'Basic Data'!E24</f>
        <v>1752058.55</v>
      </c>
      <c r="I20" s="182">
        <f t="shared" si="1"/>
        <v>5818398.944385618</v>
      </c>
      <c r="J20" s="75"/>
    </row>
    <row r="21" spans="1:9" ht="12.75">
      <c r="A21" s="1"/>
      <c r="D21" s="1"/>
      <c r="E21" s="1"/>
      <c r="I21" s="1"/>
    </row>
    <row r="22" spans="1:9" ht="12.75">
      <c r="A22" s="1"/>
      <c r="D22" s="1"/>
      <c r="E22" s="1"/>
      <c r="I22" s="1"/>
    </row>
    <row r="23" spans="3:5" ht="18">
      <c r="C23" s="175" t="s">
        <v>109</v>
      </c>
      <c r="D23" s="26"/>
      <c r="E23" s="26"/>
    </row>
    <row r="24" spans="3:5" ht="12.75">
      <c r="C24" s="195">
        <v>611</v>
      </c>
      <c r="D24" s="195">
        <v>711</v>
      </c>
      <c r="E24" s="195">
        <v>430</v>
      </c>
    </row>
    <row r="25" spans="1:5" ht="12.75">
      <c r="A25" s="81" t="s">
        <v>50</v>
      </c>
      <c r="B25" s="41" t="s">
        <v>61</v>
      </c>
      <c r="C25" s="176" t="s">
        <v>107</v>
      </c>
      <c r="D25" s="176" t="s">
        <v>108</v>
      </c>
      <c r="E25" s="176" t="s">
        <v>111</v>
      </c>
    </row>
    <row r="26" spans="1:6" ht="12.75">
      <c r="A26" s="79">
        <v>1</v>
      </c>
      <c r="B26" s="1" t="s">
        <v>112</v>
      </c>
      <c r="C26" s="187">
        <f>'FH Results'!D3</f>
        <v>399242.8636571636</v>
      </c>
      <c r="D26" s="187">
        <f>'DA Results'!D3</f>
        <v>551631.4234655378</v>
      </c>
      <c r="E26" s="187">
        <f>'CS Results'!D3</f>
        <v>27999.121897819878</v>
      </c>
      <c r="F26" s="208" t="s">
        <v>70</v>
      </c>
    </row>
    <row r="27" spans="1:5" ht="12.75">
      <c r="A27" s="79">
        <v>2</v>
      </c>
      <c r="B27" s="1" t="s">
        <v>113</v>
      </c>
      <c r="C27" s="187">
        <f>'FH Results'!D4</f>
        <v>798485.7273143271</v>
      </c>
      <c r="D27" s="187">
        <f>'DA Results'!D4</f>
        <v>1103262.8469310757</v>
      </c>
      <c r="E27" s="187">
        <f>'CS Results'!D4</f>
        <v>55998.243795639755</v>
      </c>
    </row>
    <row r="28" spans="1:5" ht="12.75">
      <c r="A28" s="79">
        <v>3</v>
      </c>
      <c r="B28" s="1" t="s">
        <v>114</v>
      </c>
      <c r="C28" s="187">
        <f>'FH Results'!D5</f>
        <v>798485.7273143271</v>
      </c>
      <c r="D28" s="187">
        <f>'DA Results'!D5</f>
        <v>1103262.8469310757</v>
      </c>
      <c r="E28" s="187">
        <f>'CS Results'!D5</f>
        <v>55998.243795639755</v>
      </c>
    </row>
    <row r="29" spans="1:5" ht="12.75">
      <c r="A29" s="79">
        <v>4</v>
      </c>
      <c r="B29" s="1" t="s">
        <v>115</v>
      </c>
      <c r="C29" s="187">
        <f>'FH Results'!D6</f>
        <v>798485.7273143271</v>
      </c>
      <c r="D29" s="187">
        <f>'DA Results'!D6</f>
        <v>1103262.8469310757</v>
      </c>
      <c r="E29" s="187">
        <f>'CS Results'!D6</f>
        <v>55998.243795639755</v>
      </c>
    </row>
    <row r="30" spans="1:5" ht="12.75">
      <c r="A30" s="79">
        <v>5</v>
      </c>
      <c r="B30" s="1" t="s">
        <v>116</v>
      </c>
      <c r="C30" s="187">
        <f>'FH Results'!D7</f>
        <v>798485.7273143271</v>
      </c>
      <c r="D30" s="187">
        <f>'DA Results'!D7</f>
        <v>1103262.8469310757</v>
      </c>
      <c r="E30" s="187">
        <f>'CS Results'!D7</f>
        <v>55998.243795639755</v>
      </c>
    </row>
    <row r="31" spans="1:5" ht="12.75">
      <c r="A31" s="79">
        <v>6</v>
      </c>
      <c r="B31" s="1" t="s">
        <v>117</v>
      </c>
      <c r="C31" s="187">
        <f>'FH Results'!D8</f>
        <v>495061.1509348828</v>
      </c>
      <c r="D31" s="187">
        <f>'DA Results'!D8</f>
        <v>772283.9928517529</v>
      </c>
      <c r="E31" s="187">
        <f>'CS Results'!D8</f>
        <v>55998.243795639755</v>
      </c>
    </row>
    <row r="32" spans="1:5" ht="12.75">
      <c r="A32" s="79">
        <v>7</v>
      </c>
      <c r="B32" s="1" t="s">
        <v>118</v>
      </c>
      <c r="C32" s="187">
        <f>'FH Results'!D9</f>
        <v>487076.29366173956</v>
      </c>
      <c r="D32" s="187">
        <f>'DA Results'!D9</f>
        <v>750218.7359131315</v>
      </c>
      <c r="E32" s="187">
        <f>'CS Results'!D9</f>
        <v>55998.243795639755</v>
      </c>
    </row>
    <row r="33" spans="1:5" ht="12.75">
      <c r="A33" s="79">
        <v>8</v>
      </c>
      <c r="B33" s="1" t="s">
        <v>119</v>
      </c>
      <c r="C33" s="187">
        <f>'FH Results'!D10</f>
        <v>471106.579115453</v>
      </c>
      <c r="D33" s="187">
        <f>'DA Results'!D10</f>
        <v>717120.8505051992</v>
      </c>
      <c r="E33" s="187">
        <f>'CS Results'!D10</f>
        <v>55998.243795639755</v>
      </c>
    </row>
    <row r="34" spans="1:5" ht="12.75">
      <c r="A34" s="79">
        <v>9</v>
      </c>
      <c r="B34" s="1" t="s">
        <v>120</v>
      </c>
      <c r="C34" s="187">
        <f>'FH Results'!D11</f>
        <v>463121.7218423097</v>
      </c>
      <c r="D34" s="187">
        <f>'DA Results'!D11</f>
        <v>684022.965097267</v>
      </c>
      <c r="E34" s="187">
        <f>'CS Results'!D11</f>
        <v>55998.243795639755</v>
      </c>
    </row>
    <row r="35" spans="1:5" ht="12.75">
      <c r="A35" s="79">
        <v>10</v>
      </c>
      <c r="B35" s="1" t="s">
        <v>121</v>
      </c>
      <c r="C35" s="187">
        <f>'FH Results'!D12</f>
        <v>447152.00729602325</v>
      </c>
      <c r="D35" s="187">
        <f>'DA Results'!D12</f>
        <v>650925.0796893346</v>
      </c>
      <c r="E35" s="187">
        <f>'CS Results'!D12</f>
        <v>55998.243795639755</v>
      </c>
    </row>
    <row r="36" spans="1:5" ht="12.75">
      <c r="A36" s="79">
        <v>11</v>
      </c>
      <c r="B36" s="1" t="s">
        <v>122</v>
      </c>
      <c r="C36" s="187">
        <f>'FH Results'!D13</f>
        <v>431182.2927497367</v>
      </c>
      <c r="D36" s="187">
        <f>'DA Results'!D13</f>
        <v>617827.1942814024</v>
      </c>
      <c r="E36" s="187">
        <f>'CS Results'!D13</f>
        <v>55998.243795639755</v>
      </c>
    </row>
    <row r="37" spans="1:5" ht="12.75">
      <c r="A37" s="79">
        <v>12</v>
      </c>
      <c r="B37" s="1" t="s">
        <v>123</v>
      </c>
      <c r="C37" s="187">
        <f>'FH Results'!D14</f>
        <v>415212.57820345013</v>
      </c>
      <c r="D37" s="187">
        <f>'DA Results'!D14</f>
        <v>584729.3088734702</v>
      </c>
      <c r="E37" s="187">
        <f>'CS Results'!D14</f>
        <v>55998.243795639755</v>
      </c>
    </row>
    <row r="38" spans="1:5" ht="12.75">
      <c r="A38" s="79">
        <v>13</v>
      </c>
      <c r="B38" s="1" t="s">
        <v>124</v>
      </c>
      <c r="C38" s="188">
        <f>'FH Results'!D15</f>
        <v>396742.4233383434</v>
      </c>
      <c r="D38" s="188">
        <f>'DA Results'!D15</f>
        <v>549618.9806427117</v>
      </c>
      <c r="E38" s="188">
        <f>'CS Results'!D15</f>
        <v>55998.243795639755</v>
      </c>
    </row>
    <row r="39" spans="3:5" ht="12.75">
      <c r="C39" s="24"/>
      <c r="D39" s="26"/>
      <c r="E39" s="177"/>
    </row>
    <row r="40" spans="2:5" ht="12.75">
      <c r="B40" s="3" t="s">
        <v>6</v>
      </c>
      <c r="C40" s="178">
        <f>SUM(C26:C39)</f>
        <v>7199840.82005641</v>
      </c>
      <c r="D40" s="178">
        <f>SUM(D26:D39)</f>
        <v>10291429.91904411</v>
      </c>
      <c r="E40" s="178">
        <f>SUM(E26:E39)</f>
        <v>699978.0474454969</v>
      </c>
    </row>
    <row r="41" ht="12.75" hidden="1"/>
    <row r="42" s="215" customFormat="1" ht="12.75" hidden="1"/>
    <row r="43" spans="2:9" s="215" customFormat="1" ht="12.75" hidden="1">
      <c r="B43" s="9"/>
      <c r="D43" s="202" t="s">
        <v>153</v>
      </c>
      <c r="E43" s="44">
        <f>F20+C40+D40+E40</f>
        <v>25761706.280931637</v>
      </c>
      <c r="I43" s="216"/>
    </row>
    <row r="44" spans="4:9" s="215" customFormat="1" ht="12.75" hidden="1">
      <c r="D44" s="202" t="s">
        <v>154</v>
      </c>
      <c r="E44" s="44">
        <f>'Basic Data'!E25</f>
        <v>25840055.26</v>
      </c>
      <c r="I44" s="216"/>
    </row>
    <row r="45" spans="1:9" s="215" customFormat="1" ht="12.75" hidden="1">
      <c r="A45" s="216"/>
      <c r="E45" s="217"/>
      <c r="I45" s="216"/>
    </row>
    <row r="46" spans="1:9" s="215" customFormat="1" ht="12.75" hidden="1">
      <c r="A46" s="216"/>
      <c r="D46" s="202" t="s">
        <v>48</v>
      </c>
      <c r="E46" s="44">
        <f>E44-E43</f>
        <v>78348.97906836495</v>
      </c>
      <c r="I46" s="216"/>
    </row>
    <row r="47" s="215" customFormat="1" ht="12.75" hidden="1"/>
    <row r="48" s="215" customFormat="1" ht="12.75"/>
    <row r="49" s="215" customFormat="1" ht="12.75"/>
    <row r="50" s="215" customFormat="1" ht="12.75"/>
    <row r="51" s="215" customFormat="1" ht="12.75"/>
    <row r="52" s="215" customFormat="1" ht="12.75"/>
    <row r="53" s="215" customFormat="1" ht="12.75"/>
    <row r="54" s="215" customFormat="1" ht="12.75"/>
  </sheetData>
  <printOptions/>
  <pageMargins left="0.75" right="0.75" top="1" bottom="1" header="0.5" footer="0.5"/>
  <pageSetup fitToHeight="1" fitToWidth="1" orientation="portrait" paperSize="9" scale="86"/>
</worksheet>
</file>

<file path=xl/worksheets/sheet10.xml><?xml version="1.0" encoding="utf-8"?>
<worksheet xmlns="http://schemas.openxmlformats.org/spreadsheetml/2006/main" xmlns:r="http://schemas.openxmlformats.org/officeDocument/2006/relationships">
  <sheetPr codeName="Sheet7"/>
  <dimension ref="A1:C39"/>
  <sheetViews>
    <sheetView zoomScale="110" zoomScaleNormal="110" workbookViewId="0" topLeftCell="A1">
      <selection activeCell="A1" sqref="A1"/>
    </sheetView>
  </sheetViews>
  <sheetFormatPr defaultColWidth="11.00390625" defaultRowHeight="12.75"/>
  <cols>
    <col min="1" max="1" width="14.25390625" style="0" customWidth="1"/>
    <col min="2" max="2" width="11.625" style="0" customWidth="1"/>
    <col min="3" max="3" width="11.25390625" style="0" customWidth="1"/>
    <col min="4" max="4" width="7.00390625" style="0" customWidth="1"/>
  </cols>
  <sheetData>
    <row r="1" s="11" customFormat="1" ht="18">
      <c r="A1" s="11" t="s">
        <v>94</v>
      </c>
    </row>
    <row r="2" s="11" customFormat="1" ht="18"/>
    <row r="3" spans="1:3" s="14" customFormat="1" ht="25.5">
      <c r="A3" s="15" t="s">
        <v>80</v>
      </c>
      <c r="B3" s="15" t="s">
        <v>58</v>
      </c>
      <c r="C3" s="15" t="s">
        <v>135</v>
      </c>
    </row>
    <row r="4" ht="13.5" customHeight="1"/>
    <row r="5" spans="1:3" ht="12.75">
      <c r="A5" s="10">
        <v>37680</v>
      </c>
      <c r="B5">
        <v>3</v>
      </c>
      <c r="C5">
        <v>1</v>
      </c>
    </row>
    <row r="6" spans="1:3" ht="12.75">
      <c r="A6" s="10">
        <v>37711</v>
      </c>
      <c r="B6">
        <v>2</v>
      </c>
      <c r="C6">
        <v>1</v>
      </c>
    </row>
    <row r="7" spans="1:3" ht="12.75">
      <c r="A7" s="10">
        <v>37741</v>
      </c>
      <c r="B7">
        <v>0</v>
      </c>
      <c r="C7">
        <v>1</v>
      </c>
    </row>
    <row r="8" spans="1:3" ht="12.75">
      <c r="A8" s="10">
        <v>37772</v>
      </c>
      <c r="B8">
        <v>0</v>
      </c>
      <c r="C8">
        <v>1</v>
      </c>
    </row>
    <row r="11" spans="1:3" ht="12.75">
      <c r="A11" s="10">
        <v>37802</v>
      </c>
      <c r="B11">
        <v>1</v>
      </c>
      <c r="C11">
        <v>1</v>
      </c>
    </row>
    <row r="12" spans="1:3" ht="12.75">
      <c r="A12" s="10">
        <v>37833</v>
      </c>
      <c r="B12">
        <v>0</v>
      </c>
      <c r="C12">
        <v>1</v>
      </c>
    </row>
    <row r="13" spans="1:3" ht="12.75">
      <c r="A13" s="10">
        <v>37864</v>
      </c>
      <c r="B13">
        <v>0</v>
      </c>
      <c r="C13">
        <v>1</v>
      </c>
    </row>
    <row r="14" spans="1:3" ht="12.75">
      <c r="A14" s="10">
        <v>37894</v>
      </c>
      <c r="B14">
        <v>0</v>
      </c>
      <c r="C14">
        <v>1</v>
      </c>
    </row>
    <row r="15" spans="1:3" ht="12.75">
      <c r="A15" s="10">
        <v>37925</v>
      </c>
      <c r="B15">
        <v>3</v>
      </c>
      <c r="C15">
        <v>1</v>
      </c>
    </row>
    <row r="16" spans="1:3" ht="12.75">
      <c r="A16" s="10">
        <v>37955</v>
      </c>
      <c r="B16">
        <v>1</v>
      </c>
      <c r="C16">
        <v>1</v>
      </c>
    </row>
    <row r="17" spans="1:3" ht="12.75">
      <c r="A17" s="10">
        <v>37986</v>
      </c>
      <c r="B17">
        <v>0</v>
      </c>
      <c r="C17">
        <v>1</v>
      </c>
    </row>
    <row r="18" spans="1:3" ht="12.75">
      <c r="A18" s="10">
        <v>38017</v>
      </c>
      <c r="B18">
        <v>4</v>
      </c>
      <c r="C18">
        <v>1</v>
      </c>
    </row>
    <row r="19" spans="1:3" ht="12.75">
      <c r="A19" s="10">
        <v>38046</v>
      </c>
      <c r="B19">
        <v>1</v>
      </c>
      <c r="C19">
        <v>1</v>
      </c>
    </row>
    <row r="20" spans="1:3" ht="12.75">
      <c r="A20" s="10">
        <v>38077</v>
      </c>
      <c r="B20">
        <v>1</v>
      </c>
      <c r="C20">
        <v>1</v>
      </c>
    </row>
    <row r="21" spans="1:3" ht="12.75">
      <c r="A21" s="10">
        <v>38107</v>
      </c>
      <c r="B21">
        <v>3</v>
      </c>
      <c r="C21">
        <v>1</v>
      </c>
    </row>
    <row r="22" spans="1:3" ht="12.75">
      <c r="A22" s="10">
        <v>38138</v>
      </c>
      <c r="B22">
        <v>16</v>
      </c>
      <c r="C22">
        <v>1</v>
      </c>
    </row>
    <row r="25" spans="1:3" ht="12.75">
      <c r="A25" s="10">
        <v>38168</v>
      </c>
      <c r="B25">
        <v>19</v>
      </c>
      <c r="C25">
        <v>1</v>
      </c>
    </row>
    <row r="26" spans="1:3" ht="12.75">
      <c r="A26" s="10">
        <v>38199</v>
      </c>
      <c r="B26">
        <v>15</v>
      </c>
      <c r="C26">
        <v>1</v>
      </c>
    </row>
    <row r="27" spans="1:3" ht="12.75">
      <c r="A27" s="10">
        <v>38230</v>
      </c>
      <c r="B27">
        <v>1</v>
      </c>
      <c r="C27">
        <v>1</v>
      </c>
    </row>
    <row r="28" spans="1:3" ht="12.75">
      <c r="A28" s="10">
        <v>38260</v>
      </c>
      <c r="B28">
        <v>5</v>
      </c>
      <c r="C28">
        <v>1</v>
      </c>
    </row>
    <row r="29" spans="1:3" ht="12.75">
      <c r="A29" s="10">
        <v>38291</v>
      </c>
      <c r="B29">
        <v>15</v>
      </c>
      <c r="C29">
        <v>1</v>
      </c>
    </row>
    <row r="30" spans="1:3" ht="12.75">
      <c r="A30" s="10">
        <v>38321</v>
      </c>
      <c r="B30">
        <v>0</v>
      </c>
      <c r="C30">
        <v>1</v>
      </c>
    </row>
    <row r="31" spans="1:3" ht="12.75">
      <c r="A31" s="10">
        <v>38352</v>
      </c>
      <c r="B31">
        <v>0</v>
      </c>
      <c r="C31">
        <v>1</v>
      </c>
    </row>
    <row r="32" spans="1:3" ht="12.75">
      <c r="A32" s="10">
        <v>38383</v>
      </c>
      <c r="B32">
        <v>0</v>
      </c>
      <c r="C32">
        <v>1</v>
      </c>
    </row>
    <row r="33" spans="1:3" ht="12.75">
      <c r="A33" s="10">
        <v>38411</v>
      </c>
      <c r="B33">
        <v>0</v>
      </c>
      <c r="C33">
        <v>1</v>
      </c>
    </row>
    <row r="34" spans="1:3" ht="12.75">
      <c r="A34" s="10">
        <v>38442</v>
      </c>
      <c r="B34">
        <v>1</v>
      </c>
      <c r="C34">
        <v>1</v>
      </c>
    </row>
    <row r="35" spans="1:3" ht="12.75">
      <c r="A35" s="10">
        <v>38472</v>
      </c>
      <c r="B35">
        <v>5</v>
      </c>
      <c r="C35">
        <v>1</v>
      </c>
    </row>
    <row r="36" ht="12.75">
      <c r="A36" s="10"/>
    </row>
    <row r="37" ht="12.75">
      <c r="A37" s="10"/>
    </row>
    <row r="38" spans="1:3" ht="15.75">
      <c r="A38" s="12" t="s">
        <v>67</v>
      </c>
      <c r="B38" s="13">
        <f>SUM(B5:B37)</f>
        <v>96</v>
      </c>
      <c r="C38" s="13">
        <f>SUM(C5:C37)</f>
        <v>27</v>
      </c>
    </row>
    <row r="39" ht="12.75">
      <c r="B39" s="10"/>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8"/>
  <dimension ref="A1:D44"/>
  <sheetViews>
    <sheetView zoomScale="110" zoomScaleNormal="110" workbookViewId="0" topLeftCell="A1">
      <selection activeCell="A1" sqref="A1"/>
    </sheetView>
  </sheetViews>
  <sheetFormatPr defaultColWidth="11.00390625" defaultRowHeight="12.75"/>
  <cols>
    <col min="1" max="1" width="14.25390625" style="0" customWidth="1"/>
    <col min="2" max="2" width="11.625" style="0" customWidth="1"/>
    <col min="3" max="4" width="11.25390625" style="0" customWidth="1"/>
    <col min="5" max="5" width="7.00390625" style="0" customWidth="1"/>
  </cols>
  <sheetData>
    <row r="1" s="11" customFormat="1" ht="18">
      <c r="A1" s="11" t="s">
        <v>60</v>
      </c>
    </row>
    <row r="2" s="11" customFormat="1" ht="18"/>
    <row r="3" spans="1:4" s="14" customFormat="1" ht="25.5">
      <c r="A3" s="15" t="s">
        <v>80</v>
      </c>
      <c r="B3" s="15" t="s">
        <v>133</v>
      </c>
      <c r="C3" s="15" t="s">
        <v>134</v>
      </c>
      <c r="D3" s="15" t="s">
        <v>135</v>
      </c>
    </row>
    <row r="4" ht="13.5" customHeight="1"/>
    <row r="5" spans="1:4" ht="12.75">
      <c r="A5" s="10">
        <v>37560</v>
      </c>
      <c r="B5">
        <v>1</v>
      </c>
      <c r="D5">
        <v>1</v>
      </c>
    </row>
    <row r="6" spans="1:4" ht="12.75">
      <c r="A6" s="10">
        <v>37590</v>
      </c>
      <c r="B6">
        <v>14</v>
      </c>
      <c r="C6">
        <v>27</v>
      </c>
      <c r="D6">
        <v>1</v>
      </c>
    </row>
    <row r="7" spans="1:4" ht="12.75">
      <c r="A7" s="10">
        <v>37621</v>
      </c>
      <c r="B7">
        <v>1</v>
      </c>
      <c r="C7">
        <v>36</v>
      </c>
      <c r="D7">
        <v>1</v>
      </c>
    </row>
    <row r="8" spans="1:4" ht="12.75">
      <c r="A8" s="10">
        <v>37652</v>
      </c>
      <c r="B8">
        <v>229</v>
      </c>
      <c r="C8">
        <v>54</v>
      </c>
      <c r="D8">
        <v>1</v>
      </c>
    </row>
    <row r="9" spans="1:4" ht="12.75">
      <c r="A9" s="10">
        <v>37680</v>
      </c>
      <c r="B9">
        <v>58</v>
      </c>
      <c r="D9">
        <v>1</v>
      </c>
    </row>
    <row r="10" spans="1:4" ht="12.75">
      <c r="A10" s="10">
        <v>37711</v>
      </c>
      <c r="B10">
        <v>173</v>
      </c>
      <c r="D10">
        <v>1</v>
      </c>
    </row>
    <row r="11" spans="1:4" ht="12.75">
      <c r="A11" s="10">
        <v>37741</v>
      </c>
      <c r="B11">
        <v>41</v>
      </c>
      <c r="D11">
        <v>1</v>
      </c>
    </row>
    <row r="12" spans="1:4" ht="12.75">
      <c r="A12" s="10">
        <v>37772</v>
      </c>
      <c r="B12">
        <v>13</v>
      </c>
      <c r="D12">
        <v>1</v>
      </c>
    </row>
    <row r="15" spans="1:4" ht="12.75">
      <c r="A15" s="10">
        <v>37802</v>
      </c>
      <c r="B15">
        <v>66</v>
      </c>
      <c r="D15">
        <v>1</v>
      </c>
    </row>
    <row r="16" spans="1:4" ht="12.75">
      <c r="A16" s="10">
        <v>37833</v>
      </c>
      <c r="B16">
        <v>10</v>
      </c>
      <c r="D16">
        <v>1</v>
      </c>
    </row>
    <row r="17" spans="1:4" ht="12.75">
      <c r="A17" s="10">
        <v>37864</v>
      </c>
      <c r="B17">
        <v>14</v>
      </c>
      <c r="D17">
        <v>1</v>
      </c>
    </row>
    <row r="18" spans="1:4" ht="12.75">
      <c r="A18" s="10">
        <v>37894</v>
      </c>
      <c r="B18">
        <v>82</v>
      </c>
      <c r="D18">
        <v>1</v>
      </c>
    </row>
    <row r="19" spans="1:4" ht="12.75">
      <c r="A19" s="10">
        <v>37925</v>
      </c>
      <c r="B19">
        <v>2</v>
      </c>
      <c r="D19">
        <v>1</v>
      </c>
    </row>
    <row r="20" spans="1:4" ht="12.75">
      <c r="A20" s="10">
        <v>37955</v>
      </c>
      <c r="B20">
        <v>0</v>
      </c>
      <c r="D20">
        <v>1</v>
      </c>
    </row>
    <row r="21" spans="1:4" ht="12.75">
      <c r="A21" s="10">
        <v>37986</v>
      </c>
      <c r="B21">
        <v>0</v>
      </c>
      <c r="D21">
        <v>1</v>
      </c>
    </row>
    <row r="22" spans="1:4" ht="12.75">
      <c r="A22" s="10">
        <v>38017</v>
      </c>
      <c r="B22">
        <v>0</v>
      </c>
      <c r="D22">
        <v>1</v>
      </c>
    </row>
    <row r="23" spans="1:4" ht="12.75">
      <c r="A23" s="10">
        <v>38046</v>
      </c>
      <c r="B23">
        <v>0</v>
      </c>
      <c r="D23">
        <v>1</v>
      </c>
    </row>
    <row r="24" spans="1:4" ht="12.75">
      <c r="A24" s="10">
        <v>38077</v>
      </c>
      <c r="B24">
        <v>23</v>
      </c>
      <c r="D24">
        <v>1</v>
      </c>
    </row>
    <row r="25" spans="1:4" ht="12.75">
      <c r="A25" s="10">
        <v>38107</v>
      </c>
      <c r="B25">
        <v>1</v>
      </c>
      <c r="D25">
        <v>1</v>
      </c>
    </row>
    <row r="26" spans="1:4" ht="12.75">
      <c r="A26" s="10">
        <v>38138</v>
      </c>
      <c r="B26">
        <v>68</v>
      </c>
      <c r="D26">
        <v>1</v>
      </c>
    </row>
    <row r="29" spans="1:4" ht="12.75">
      <c r="A29" s="10">
        <v>38168</v>
      </c>
      <c r="B29">
        <v>77</v>
      </c>
      <c r="C29">
        <v>1</v>
      </c>
      <c r="D29">
        <v>1</v>
      </c>
    </row>
    <row r="30" spans="1:4" ht="12.75">
      <c r="A30" s="10">
        <v>38199</v>
      </c>
      <c r="B30">
        <v>4</v>
      </c>
      <c r="D30">
        <v>1</v>
      </c>
    </row>
    <row r="31" spans="1:4" ht="12.75">
      <c r="A31" s="10">
        <v>38230</v>
      </c>
      <c r="B31">
        <v>33</v>
      </c>
      <c r="D31">
        <v>1</v>
      </c>
    </row>
    <row r="32" spans="1:4" ht="12.75">
      <c r="A32" s="10">
        <v>38260</v>
      </c>
      <c r="B32">
        <v>38</v>
      </c>
      <c r="D32">
        <v>1</v>
      </c>
    </row>
    <row r="33" spans="1:4" ht="12.75">
      <c r="A33" s="10">
        <v>38291</v>
      </c>
      <c r="B33">
        <v>4</v>
      </c>
      <c r="D33">
        <v>1</v>
      </c>
    </row>
    <row r="34" spans="1:4" ht="12.75">
      <c r="A34" s="10">
        <v>38321</v>
      </c>
      <c r="B34">
        <v>1</v>
      </c>
      <c r="D34">
        <v>1</v>
      </c>
    </row>
    <row r="35" spans="1:4" ht="12.75">
      <c r="A35" s="10">
        <v>38352</v>
      </c>
      <c r="B35">
        <v>2</v>
      </c>
      <c r="D35">
        <v>1</v>
      </c>
    </row>
    <row r="36" spans="1:4" ht="12.75">
      <c r="A36" s="10">
        <v>38383</v>
      </c>
      <c r="B36">
        <v>0</v>
      </c>
      <c r="D36">
        <v>1</v>
      </c>
    </row>
    <row r="37" spans="1:4" ht="12.75">
      <c r="A37" s="10">
        <v>38411</v>
      </c>
      <c r="B37">
        <v>4</v>
      </c>
      <c r="C37">
        <v>1</v>
      </c>
      <c r="D37">
        <v>1</v>
      </c>
    </row>
    <row r="38" spans="1:4" ht="12.75">
      <c r="A38" s="10">
        <v>38442</v>
      </c>
      <c r="B38">
        <v>14</v>
      </c>
      <c r="D38">
        <v>1</v>
      </c>
    </row>
    <row r="39" spans="1:4" ht="12.75">
      <c r="A39" s="10">
        <v>38472</v>
      </c>
      <c r="B39">
        <v>9</v>
      </c>
      <c r="C39">
        <v>26</v>
      </c>
      <c r="D39">
        <v>1</v>
      </c>
    </row>
    <row r="40" ht="12.75">
      <c r="A40" s="10"/>
    </row>
    <row r="41" ht="12.75">
      <c r="A41" s="10"/>
    </row>
    <row r="42" spans="1:4" ht="15.75">
      <c r="A42" s="12" t="s">
        <v>67</v>
      </c>
      <c r="B42" s="13">
        <f>SUM(B5:B41)</f>
        <v>982</v>
      </c>
      <c r="C42" s="13">
        <f>SUM(C5:C41)</f>
        <v>145</v>
      </c>
      <c r="D42" s="13">
        <f>SUM(D5:D41)</f>
        <v>31</v>
      </c>
    </row>
    <row r="43" ht="12.75">
      <c r="B43" s="10"/>
    </row>
    <row r="44" spans="1:2" ht="15.75">
      <c r="A44" s="12" t="s">
        <v>99</v>
      </c>
      <c r="B44" s="13">
        <f>B42+C42</f>
        <v>1127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E48"/>
  <sheetViews>
    <sheetView zoomScale="110" zoomScaleNormal="110" workbookViewId="0" topLeftCell="A1">
      <selection activeCell="J40" sqref="J40"/>
    </sheetView>
  </sheetViews>
  <sheetFormatPr defaultColWidth="11.00390625" defaultRowHeight="12.75"/>
  <cols>
    <col min="1" max="1" width="14.25390625" style="0" customWidth="1"/>
    <col min="2" max="2" width="11.625" style="0" customWidth="1"/>
    <col min="3" max="4" width="11.25390625" style="0" customWidth="1"/>
    <col min="5" max="5" width="13.75390625" style="0" customWidth="1"/>
  </cols>
  <sheetData>
    <row r="1" s="11" customFormat="1" ht="18">
      <c r="A1" s="11" t="s">
        <v>79</v>
      </c>
    </row>
    <row r="2" s="11" customFormat="1" ht="18"/>
    <row r="3" spans="1:4" s="14" customFormat="1" ht="25.5">
      <c r="A3" s="15" t="s">
        <v>80</v>
      </c>
      <c r="B3" s="15" t="s">
        <v>36</v>
      </c>
      <c r="C3" s="15" t="s">
        <v>37</v>
      </c>
      <c r="D3" s="15" t="s">
        <v>135</v>
      </c>
    </row>
    <row r="4" ht="13.5" customHeight="1"/>
    <row r="5" spans="1:4" ht="12.75">
      <c r="A5" s="10">
        <v>37560</v>
      </c>
      <c r="B5" s="16"/>
      <c r="C5" s="16"/>
      <c r="D5">
        <v>1</v>
      </c>
    </row>
    <row r="6" spans="1:4" ht="12.75">
      <c r="A6" s="10">
        <v>37590</v>
      </c>
      <c r="B6" s="16"/>
      <c r="C6" s="16"/>
      <c r="D6">
        <v>1</v>
      </c>
    </row>
    <row r="7" spans="1:4" ht="12.75">
      <c r="A7" s="10">
        <v>37621</v>
      </c>
      <c r="B7" s="16"/>
      <c r="C7" s="16"/>
      <c r="D7">
        <v>1</v>
      </c>
    </row>
    <row r="8" spans="1:4" ht="12.75">
      <c r="A8" s="10">
        <v>37652</v>
      </c>
      <c r="B8" s="16"/>
      <c r="C8" s="16"/>
      <c r="D8">
        <v>1</v>
      </c>
    </row>
    <row r="9" spans="1:4" ht="12.75">
      <c r="A9" s="10">
        <v>37680</v>
      </c>
      <c r="B9" s="16"/>
      <c r="C9" s="16"/>
      <c r="D9">
        <v>1</v>
      </c>
    </row>
    <row r="10" spans="1:4" ht="12.75">
      <c r="A10" s="10">
        <v>37711</v>
      </c>
      <c r="B10" s="16"/>
      <c r="C10" s="16"/>
      <c r="D10">
        <v>1</v>
      </c>
    </row>
    <row r="11" spans="1:4" ht="12.75">
      <c r="A11" s="10">
        <v>37741</v>
      </c>
      <c r="B11" s="16"/>
      <c r="C11" s="16"/>
      <c r="D11">
        <v>1</v>
      </c>
    </row>
    <row r="12" spans="1:4" ht="12.75">
      <c r="A12" s="10">
        <v>37772</v>
      </c>
      <c r="B12" s="16"/>
      <c r="C12" s="16"/>
      <c r="D12">
        <v>1</v>
      </c>
    </row>
    <row r="13" spans="2:3" ht="12.75">
      <c r="B13" s="16"/>
      <c r="C13" s="16"/>
    </row>
    <row r="14" spans="2:3" ht="12.75">
      <c r="B14" s="16"/>
      <c r="C14" s="16"/>
    </row>
    <row r="15" spans="1:4" ht="12.75">
      <c r="A15" s="10">
        <v>37802</v>
      </c>
      <c r="B15" s="16"/>
      <c r="C15" s="16"/>
      <c r="D15">
        <v>1</v>
      </c>
    </row>
    <row r="16" spans="1:4" ht="12.75">
      <c r="A16" s="10">
        <v>37833</v>
      </c>
      <c r="B16" s="16"/>
      <c r="C16" s="16"/>
      <c r="D16">
        <v>1</v>
      </c>
    </row>
    <row r="17" spans="1:4" ht="12.75">
      <c r="A17" s="10">
        <v>37864</v>
      </c>
      <c r="B17" s="16"/>
      <c r="C17" s="16"/>
      <c r="D17">
        <v>1</v>
      </c>
    </row>
    <row r="18" spans="1:4" ht="12.75">
      <c r="A18" s="10">
        <v>37894</v>
      </c>
      <c r="B18" s="16"/>
      <c r="C18" s="16"/>
      <c r="D18">
        <v>1</v>
      </c>
    </row>
    <row r="19" spans="1:4" ht="12.75">
      <c r="A19" s="10">
        <v>37925</v>
      </c>
      <c r="B19" s="16"/>
      <c r="C19" s="16"/>
      <c r="D19">
        <v>1</v>
      </c>
    </row>
    <row r="20" spans="1:4" ht="12.75">
      <c r="A20" s="10">
        <v>37955</v>
      </c>
      <c r="B20" s="16"/>
      <c r="C20" s="16"/>
      <c r="D20">
        <v>1</v>
      </c>
    </row>
    <row r="21" spans="1:4" ht="12.75">
      <c r="A21" s="10">
        <v>37986</v>
      </c>
      <c r="B21" s="16"/>
      <c r="C21" s="16"/>
      <c r="D21">
        <v>1</v>
      </c>
    </row>
    <row r="22" spans="1:4" ht="12.75">
      <c r="A22" s="10">
        <v>38017</v>
      </c>
      <c r="B22" s="16"/>
      <c r="C22" s="16"/>
      <c r="D22">
        <v>1</v>
      </c>
    </row>
    <row r="23" spans="1:4" ht="12.75">
      <c r="A23" s="10">
        <v>38046</v>
      </c>
      <c r="B23" s="16"/>
      <c r="C23" s="16"/>
      <c r="D23">
        <v>1</v>
      </c>
    </row>
    <row r="24" spans="1:4" ht="12.75">
      <c r="A24" s="10">
        <v>38077</v>
      </c>
      <c r="B24" s="16"/>
      <c r="C24" s="16"/>
      <c r="D24">
        <v>1</v>
      </c>
    </row>
    <row r="25" spans="1:4" ht="12.75">
      <c r="A25" s="10">
        <v>38107</v>
      </c>
      <c r="B25" s="16"/>
      <c r="C25" s="16"/>
      <c r="D25">
        <v>1</v>
      </c>
    </row>
    <row r="26" spans="1:4" ht="12.75">
      <c r="A26" s="10">
        <v>38138</v>
      </c>
      <c r="B26" s="16"/>
      <c r="C26" s="16"/>
      <c r="D26">
        <v>1</v>
      </c>
    </row>
    <row r="27" spans="2:3" ht="12.75">
      <c r="B27" s="16"/>
      <c r="C27" s="16"/>
    </row>
    <row r="28" spans="2:3" ht="12.75">
      <c r="B28" s="16"/>
      <c r="C28" s="16"/>
    </row>
    <row r="29" spans="1:4" ht="12.75">
      <c r="A29" s="10">
        <v>38168</v>
      </c>
      <c r="B29" s="16"/>
      <c r="C29" s="16"/>
      <c r="D29">
        <v>1</v>
      </c>
    </row>
    <row r="30" spans="1:4" ht="12.75">
      <c r="A30" s="10">
        <v>38199</v>
      </c>
      <c r="B30" s="16"/>
      <c r="C30" s="16"/>
      <c r="D30">
        <v>1</v>
      </c>
    </row>
    <row r="31" spans="1:4" ht="12.75">
      <c r="A31" s="10">
        <v>38230</v>
      </c>
      <c r="B31" s="16"/>
      <c r="C31" s="16"/>
      <c r="D31">
        <v>1</v>
      </c>
    </row>
    <row r="32" spans="1:4" ht="12.75">
      <c r="A32" s="10">
        <v>38260</v>
      </c>
      <c r="B32" s="16"/>
      <c r="C32" s="16"/>
      <c r="D32">
        <v>1</v>
      </c>
    </row>
    <row r="33" spans="1:4" ht="12.75">
      <c r="A33" s="10">
        <v>38291</v>
      </c>
      <c r="B33" s="16"/>
      <c r="C33" s="16"/>
      <c r="D33">
        <v>1</v>
      </c>
    </row>
    <row r="34" spans="1:4" ht="12.75">
      <c r="A34" s="10">
        <v>38321</v>
      </c>
      <c r="B34" s="16"/>
      <c r="C34" s="16"/>
      <c r="D34">
        <v>1</v>
      </c>
    </row>
    <row r="35" spans="1:4" ht="12.75">
      <c r="A35" s="10">
        <v>38352</v>
      </c>
      <c r="B35" s="16"/>
      <c r="C35" s="16"/>
      <c r="D35">
        <v>1</v>
      </c>
    </row>
    <row r="36" spans="1:4" ht="12.75">
      <c r="A36" s="10">
        <v>38383</v>
      </c>
      <c r="B36" s="16"/>
      <c r="C36" s="16"/>
      <c r="D36">
        <v>1</v>
      </c>
    </row>
    <row r="37" spans="1:4" ht="12.75">
      <c r="A37" s="10">
        <v>38411</v>
      </c>
      <c r="B37" s="16"/>
      <c r="C37" s="16"/>
      <c r="D37">
        <v>1</v>
      </c>
    </row>
    <row r="38" spans="1:4" ht="12.75">
      <c r="A38" s="10">
        <v>38442</v>
      </c>
      <c r="B38" s="16"/>
      <c r="C38" s="16"/>
      <c r="D38">
        <v>1</v>
      </c>
    </row>
    <row r="39" spans="1:4" ht="12.75">
      <c r="A39" s="10">
        <v>38472</v>
      </c>
      <c r="B39" s="16"/>
      <c r="C39" s="16"/>
      <c r="D39">
        <v>1</v>
      </c>
    </row>
    <row r="40" ht="12.75">
      <c r="A40" s="10"/>
    </row>
    <row r="41" ht="12.75">
      <c r="A41" s="10"/>
    </row>
    <row r="42" spans="1:4" ht="15.75">
      <c r="A42" s="12" t="s">
        <v>67</v>
      </c>
      <c r="B42" s="13">
        <f>SUM(B5:B41)</f>
        <v>0</v>
      </c>
      <c r="C42" s="13">
        <f>SUM(C5:C41)</f>
        <v>0</v>
      </c>
      <c r="D42" s="13">
        <f>SUM(D5:D41)</f>
        <v>31</v>
      </c>
    </row>
    <row r="43" ht="12.75">
      <c r="B43" s="10"/>
    </row>
    <row r="44" spans="1:5" ht="15.75">
      <c r="A44" s="12" t="s">
        <v>99</v>
      </c>
      <c r="B44" s="35">
        <v>0</v>
      </c>
      <c r="C44" s="234" t="s">
        <v>0</v>
      </c>
      <c r="D44" s="234"/>
      <c r="E44" s="234"/>
    </row>
    <row r="45" spans="3:5" ht="12.75">
      <c r="C45" s="234"/>
      <c r="D45" s="234"/>
      <c r="E45" s="234"/>
    </row>
    <row r="46" spans="3:5" ht="12.75">
      <c r="C46" s="234"/>
      <c r="D46" s="234"/>
      <c r="E46" s="234"/>
    </row>
    <row r="47" spans="3:5" ht="12.75">
      <c r="C47" s="234"/>
      <c r="D47" s="234"/>
      <c r="E47" s="234"/>
    </row>
    <row r="48" spans="3:5" ht="27" customHeight="1">
      <c r="C48" s="234"/>
      <c r="D48" s="234"/>
      <c r="E48" s="234"/>
    </row>
  </sheetData>
  <mergeCells count="1">
    <mergeCell ref="C44:E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zoomScale="150" zoomScaleNormal="150" workbookViewId="0" topLeftCell="A1">
      <selection activeCell="A17" sqref="A17:IV23"/>
    </sheetView>
  </sheetViews>
  <sheetFormatPr defaultColWidth="11.00390625" defaultRowHeight="12.75"/>
  <cols>
    <col min="1" max="1" width="3.625" style="1" customWidth="1"/>
    <col min="2" max="3" width="10.125" style="0" customWidth="1"/>
    <col min="4" max="5" width="10.75390625" style="1" customWidth="1"/>
    <col min="9" max="9" width="0" style="1" hidden="1" customWidth="1"/>
  </cols>
  <sheetData>
    <row r="1" ht="22.5">
      <c r="A1" s="47" t="s">
        <v>88</v>
      </c>
    </row>
    <row r="2" spans="1:9" ht="140.25">
      <c r="A2" s="1" t="s">
        <v>50</v>
      </c>
      <c r="B2" s="41" t="s">
        <v>61</v>
      </c>
      <c r="C2" s="41" t="s">
        <v>44</v>
      </c>
      <c r="D2" s="76" t="s">
        <v>103</v>
      </c>
      <c r="E2" s="76" t="s">
        <v>25</v>
      </c>
      <c r="F2" s="48" t="s">
        <v>52</v>
      </c>
      <c r="G2" s="48" t="s">
        <v>53</v>
      </c>
      <c r="H2" s="48" t="s">
        <v>45</v>
      </c>
      <c r="I2" s="52" t="s">
        <v>49</v>
      </c>
    </row>
    <row r="3" spans="1:10" ht="12.75">
      <c r="A3" s="1">
        <v>1</v>
      </c>
      <c r="B3" s="1" t="s">
        <v>112</v>
      </c>
      <c r="C3" s="65">
        <v>0.5</v>
      </c>
      <c r="D3" s="77">
        <f>'Basic Data'!$B$30*$C3</f>
        <v>399242.8636571636</v>
      </c>
      <c r="E3" s="77">
        <f>'Basic Data'!$B$31*$C3</f>
        <v>168314.92782977986</v>
      </c>
      <c r="F3" s="49">
        <v>0</v>
      </c>
      <c r="G3" s="49">
        <v>0</v>
      </c>
      <c r="H3" s="49">
        <f aca="true" t="shared" si="0" ref="H3:H15">F3+G3</f>
        <v>0</v>
      </c>
      <c r="I3" s="53">
        <f>E3*(1-'Basic Data'!$B$28)/'Basic Data'!$B$19/'Labor Cost'!$B$29</f>
        <v>0.9666775891212136</v>
      </c>
      <c r="J3" s="75"/>
    </row>
    <row r="4" spans="1:10" ht="12.75">
      <c r="A4" s="1">
        <v>2</v>
      </c>
      <c r="B4" s="1" t="s">
        <v>113</v>
      </c>
      <c r="C4" s="65">
        <f>1</f>
        <v>1</v>
      </c>
      <c r="D4" s="77">
        <f>'Basic Data'!$B$30*$C4</f>
        <v>798485.7273143271</v>
      </c>
      <c r="E4" s="77">
        <f>'Basic Data'!$B$31*$C4</f>
        <v>336629.8556595597</v>
      </c>
      <c r="F4" s="49">
        <f>'Basic Data'!$B$30-$D4</f>
        <v>0</v>
      </c>
      <c r="G4" s="49">
        <f>'Basic Data'!$B$31-$E4</f>
        <v>0</v>
      </c>
      <c r="H4" s="49">
        <f t="shared" si="0"/>
        <v>0</v>
      </c>
      <c r="I4" s="53">
        <f>E4*(1-'Basic Data'!$B$28)/'Basic Data'!$B$19/'Labor Cost'!$B$29</f>
        <v>1.9333551782424272</v>
      </c>
      <c r="J4" s="75"/>
    </row>
    <row r="5" spans="1:10" ht="12.75">
      <c r="A5" s="1">
        <v>3</v>
      </c>
      <c r="B5" s="1" t="s">
        <v>114</v>
      </c>
      <c r="C5" s="65">
        <v>1</v>
      </c>
      <c r="D5" s="77">
        <f>'Basic Data'!$B$30*$C5</f>
        <v>798485.7273143271</v>
      </c>
      <c r="E5" s="77">
        <f>'Basic Data'!$B$31*$C5</f>
        <v>336629.8556595597</v>
      </c>
      <c r="F5" s="49">
        <f>'Basic Data'!$B$30-$D5</f>
        <v>0</v>
      </c>
      <c r="G5" s="49">
        <f>'Basic Data'!$B$31-$E5</f>
        <v>0</v>
      </c>
      <c r="H5" s="49">
        <f t="shared" si="0"/>
        <v>0</v>
      </c>
      <c r="I5" s="53">
        <f>E5*(1-'Basic Data'!$B$28)/'Basic Data'!$B$19/'Labor Cost'!$B$29</f>
        <v>1.9333551782424272</v>
      </c>
      <c r="J5" s="75"/>
    </row>
    <row r="6" spans="1:10" ht="12.75">
      <c r="A6" s="1">
        <v>4</v>
      </c>
      <c r="B6" s="1" t="s">
        <v>115</v>
      </c>
      <c r="C6" s="65">
        <v>1</v>
      </c>
      <c r="D6" s="77">
        <f>'Basic Data'!$B$30*$C6</f>
        <v>798485.7273143271</v>
      </c>
      <c r="E6" s="77">
        <f>'Basic Data'!$B$31*$C6</f>
        <v>336629.8556595597</v>
      </c>
      <c r="F6" s="49">
        <f>'Basic Data'!$B$30-$D6</f>
        <v>0</v>
      </c>
      <c r="G6" s="49">
        <f>'Basic Data'!$B$31-$E6</f>
        <v>0</v>
      </c>
      <c r="H6" s="49">
        <f t="shared" si="0"/>
        <v>0</v>
      </c>
      <c r="I6" s="53">
        <f>E6*(1-'Basic Data'!$B$28)/'Basic Data'!$B$19/'Labor Cost'!$B$29</f>
        <v>1.9333551782424272</v>
      </c>
      <c r="J6" s="75"/>
    </row>
    <row r="7" spans="1:10" ht="12.75">
      <c r="A7" s="1">
        <v>5</v>
      </c>
      <c r="B7" s="1" t="s">
        <v>116</v>
      </c>
      <c r="C7" s="65">
        <v>1</v>
      </c>
      <c r="D7" s="77">
        <f>'Basic Data'!$B$30*$C7</f>
        <v>798485.7273143271</v>
      </c>
      <c r="E7" s="77">
        <f>'Basic Data'!$B$31*$C7</f>
        <v>336629.8556595597</v>
      </c>
      <c r="F7" s="49">
        <f>'Basic Data'!$B$30-$D7</f>
        <v>0</v>
      </c>
      <c r="G7" s="49">
        <f>'Basic Data'!$B$31-$E7</f>
        <v>0</v>
      </c>
      <c r="H7" s="49">
        <f t="shared" si="0"/>
        <v>0</v>
      </c>
      <c r="I7" s="53">
        <f>E7*(1-'Basic Data'!$B$28)/'Basic Data'!$B$19/'Labor Cost'!$B$29</f>
        <v>1.9333551782424272</v>
      </c>
      <c r="J7" s="75"/>
    </row>
    <row r="8" spans="1:10" ht="12.75">
      <c r="A8" s="1">
        <v>6</v>
      </c>
      <c r="B8" s="1" t="s">
        <v>117</v>
      </c>
      <c r="C8" s="65">
        <v>0.62</v>
      </c>
      <c r="D8" s="77">
        <f>'Basic Data'!$B$30*$C8</f>
        <v>495061.1509348828</v>
      </c>
      <c r="E8" s="77">
        <f>'Basic Data'!$B$31*$C8</f>
        <v>208710.51050892702</v>
      </c>
      <c r="F8" s="49">
        <f>'Basic Data'!$B$30-$D8</f>
        <v>303424.57637944433</v>
      </c>
      <c r="G8" s="49">
        <f>'Basic Data'!$B$31-$E8</f>
        <v>127919.3451506327</v>
      </c>
      <c r="H8" s="49">
        <f t="shared" si="0"/>
        <v>431343.921530077</v>
      </c>
      <c r="I8" s="53">
        <f>E8*(1-'Basic Data'!$B$28)/'Basic Data'!$B$19/'Labor Cost'!$B$29</f>
        <v>1.1986802105103047</v>
      </c>
      <c r="J8" s="75"/>
    </row>
    <row r="9" spans="1:10" ht="12.75">
      <c r="A9" s="1">
        <v>7</v>
      </c>
      <c r="B9" s="1" t="s">
        <v>118</v>
      </c>
      <c r="C9" s="65">
        <v>0.61</v>
      </c>
      <c r="D9" s="77">
        <f>'Basic Data'!$B$30*$C9</f>
        <v>487076.29366173956</v>
      </c>
      <c r="E9" s="77">
        <f>'Basic Data'!$B$31*$C9</f>
        <v>205344.21195233142</v>
      </c>
      <c r="F9" s="49">
        <f>'Basic Data'!$B$30-$D9</f>
        <v>311409.4336525876</v>
      </c>
      <c r="G9" s="49">
        <f>'Basic Data'!$B$31-$E9</f>
        <v>131285.6437072283</v>
      </c>
      <c r="H9" s="49">
        <f t="shared" si="0"/>
        <v>442695.0773598159</v>
      </c>
      <c r="I9" s="53">
        <f>E9*(1-'Basic Data'!$B$28)/'Basic Data'!$B$19/'Labor Cost'!$B$29</f>
        <v>1.1793466587278807</v>
      </c>
      <c r="J9" s="75"/>
    </row>
    <row r="10" spans="1:10" ht="12.75">
      <c r="A10" s="1">
        <v>8</v>
      </c>
      <c r="B10" s="1" t="s">
        <v>119</v>
      </c>
      <c r="C10" s="65">
        <v>0.59</v>
      </c>
      <c r="D10" s="77">
        <f>'Basic Data'!$B$30*$C10</f>
        <v>471106.579115453</v>
      </c>
      <c r="E10" s="77">
        <f>'Basic Data'!$B$31*$C10</f>
        <v>198611.6148391402</v>
      </c>
      <c r="F10" s="49">
        <f>'Basic Data'!$B$30-$D10</f>
        <v>327379.14819887414</v>
      </c>
      <c r="G10" s="49">
        <f>'Basic Data'!$B$31-$E10</f>
        <v>138018.2408204195</v>
      </c>
      <c r="H10" s="49">
        <f t="shared" si="0"/>
        <v>465397.38901929365</v>
      </c>
      <c r="I10" s="53">
        <f>E10*(1-'Basic Data'!$B$28)/'Basic Data'!$B$19/'Labor Cost'!$B$29</f>
        <v>1.1406795551630318</v>
      </c>
      <c r="J10" s="75"/>
    </row>
    <row r="11" spans="1:10" ht="12.75">
      <c r="A11" s="1">
        <v>9</v>
      </c>
      <c r="B11" s="1" t="s">
        <v>120</v>
      </c>
      <c r="C11" s="65">
        <v>0.58</v>
      </c>
      <c r="D11" s="77">
        <f>'Basic Data'!$B$30*$C11</f>
        <v>463121.7218423097</v>
      </c>
      <c r="E11" s="77">
        <f>'Basic Data'!$B$31*$C11</f>
        <v>195245.31628254463</v>
      </c>
      <c r="F11" s="49">
        <f>'Basic Data'!$B$30-$D11</f>
        <v>335364.00547201745</v>
      </c>
      <c r="G11" s="49">
        <f>'Basic Data'!$B$31-$E11</f>
        <v>141384.53937701508</v>
      </c>
      <c r="H11" s="49">
        <f t="shared" si="0"/>
        <v>476748.54484903254</v>
      </c>
      <c r="I11" s="53">
        <f>E11*(1-'Basic Data'!$B$28)/'Basic Data'!$B$19/'Labor Cost'!$B$29</f>
        <v>1.1213460033806077</v>
      </c>
      <c r="J11" s="75"/>
    </row>
    <row r="12" spans="1:10" ht="12.75">
      <c r="A12" s="1">
        <v>10</v>
      </c>
      <c r="B12" s="1" t="s">
        <v>121</v>
      </c>
      <c r="C12" s="65">
        <v>0.56</v>
      </c>
      <c r="D12" s="77">
        <f>'Basic Data'!$B$30*$C12</f>
        <v>447152.00729602325</v>
      </c>
      <c r="E12" s="77">
        <f>'Basic Data'!$B$31*$C12</f>
        <v>188512.71916935346</v>
      </c>
      <c r="F12" s="49">
        <f>'Basic Data'!$B$30-$D12</f>
        <v>351333.7200183039</v>
      </c>
      <c r="G12" s="49">
        <f>'Basic Data'!$B$31-$E12</f>
        <v>148117.13649020626</v>
      </c>
      <c r="H12" s="49">
        <f t="shared" si="0"/>
        <v>499450.8565085102</v>
      </c>
      <c r="I12" s="53">
        <f>E12*(1-'Basic Data'!$B$28)/'Basic Data'!$B$19/'Labor Cost'!$B$29</f>
        <v>1.082678899815759</v>
      </c>
      <c r="J12" s="75"/>
    </row>
    <row r="13" spans="1:10" ht="12.75">
      <c r="A13" s="1">
        <v>11</v>
      </c>
      <c r="B13" s="1" t="s">
        <v>122</v>
      </c>
      <c r="C13" s="65">
        <v>0.54</v>
      </c>
      <c r="D13" s="77">
        <f>'Basic Data'!$B$30*$C13</f>
        <v>431182.2927497367</v>
      </c>
      <c r="E13" s="77">
        <f>'Basic Data'!$B$31*$C13</f>
        <v>181780.12205616225</v>
      </c>
      <c r="F13" s="49">
        <f>'Basic Data'!$B$30-$D13</f>
        <v>367303.43456459045</v>
      </c>
      <c r="G13" s="49">
        <f>'Basic Data'!$B$31-$E13</f>
        <v>154849.73360339747</v>
      </c>
      <c r="H13" s="49">
        <f t="shared" si="0"/>
        <v>522153.16816798795</v>
      </c>
      <c r="I13" s="53">
        <f>E13*(1-'Basic Data'!$B$28)/'Basic Data'!$B$19/'Labor Cost'!$B$29</f>
        <v>1.0440117962509106</v>
      </c>
      <c r="J13" s="75"/>
    </row>
    <row r="14" spans="1:10" ht="12.75">
      <c r="A14" s="1">
        <v>12</v>
      </c>
      <c r="B14" s="1" t="s">
        <v>123</v>
      </c>
      <c r="C14" s="65">
        <v>0.52</v>
      </c>
      <c r="D14" s="77">
        <f>'Basic Data'!$B$30*$C14</f>
        <v>415212.57820345013</v>
      </c>
      <c r="E14" s="77">
        <f>'Basic Data'!$B$31*$C14</f>
        <v>175047.52494297107</v>
      </c>
      <c r="F14" s="49">
        <f>'Basic Data'!$B$30-$D14</f>
        <v>383273.149110877</v>
      </c>
      <c r="G14" s="49">
        <f>'Basic Data'!$B$31-$E14</f>
        <v>161582.33071658865</v>
      </c>
      <c r="H14" s="49">
        <f t="shared" si="0"/>
        <v>544855.4798274657</v>
      </c>
      <c r="I14" s="53">
        <f>E14*(1-'Basic Data'!$B$28)/'Basic Data'!$B$19/'Labor Cost'!$B$29</f>
        <v>1.005344692686062</v>
      </c>
      <c r="J14" s="75"/>
    </row>
    <row r="15" spans="1:10" ht="12.75">
      <c r="A15" s="1">
        <v>13</v>
      </c>
      <c r="B15" s="1" t="s">
        <v>124</v>
      </c>
      <c r="C15" s="65">
        <f>(D18-SUM(D3:D14))/'Basic Data'!$B$30</f>
        <v>0.49686852221237526</v>
      </c>
      <c r="D15" s="77">
        <f>'Basic Data'!$B$30*$C15</f>
        <v>396742.4233383434</v>
      </c>
      <c r="E15" s="77">
        <f>'Basic Data'!$B$31*$C15</f>
        <v>167260.7789141306</v>
      </c>
      <c r="F15" s="49">
        <f>'Basic Data'!$B$30-$D15</f>
        <v>401743.30397598376</v>
      </c>
      <c r="G15" s="49">
        <f>'Basic Data'!$B$31-$E15</f>
        <v>169369.0767454291</v>
      </c>
      <c r="H15" s="49">
        <f t="shared" si="0"/>
        <v>571112.3807214128</v>
      </c>
      <c r="I15" s="53">
        <f>E15*(1-'Basic Data'!$B$28)/'Basic Data'!$B$19/'Labor Cost'!$B$29</f>
        <v>0.960623330324958</v>
      </c>
      <c r="J15" s="75"/>
    </row>
    <row r="16" spans="2:8" ht="12.75">
      <c r="B16" s="1"/>
      <c r="C16" s="42"/>
      <c r="D16" s="78"/>
      <c r="E16" s="78"/>
      <c r="F16" s="42"/>
      <c r="G16" s="42"/>
      <c r="H16" s="42"/>
    </row>
    <row r="17" spans="2:8" ht="12.75" hidden="1">
      <c r="B17" s="213"/>
      <c r="C17" s="203" t="s">
        <v>46</v>
      </c>
      <c r="D17" s="222">
        <f>SUM(D3:D16)</f>
        <v>7199840.82005641</v>
      </c>
      <c r="E17" s="222">
        <f>SUM(E3:E16)</f>
        <v>3035347.1491335803</v>
      </c>
      <c r="F17" s="223"/>
      <c r="G17" s="204" t="s">
        <v>45</v>
      </c>
      <c r="H17" s="51">
        <f>SUM(H3:H16)</f>
        <v>3953756.8179835957</v>
      </c>
    </row>
    <row r="18" spans="2:8" ht="12.75" hidden="1">
      <c r="B18" s="213"/>
      <c r="C18" s="203" t="s">
        <v>47</v>
      </c>
      <c r="D18" s="224">
        <f>'Basic Data'!B25*(1-'Basic Data'!B34)</f>
        <v>7199840.82005641</v>
      </c>
      <c r="E18" s="224">
        <f>'Basic Data'!B25*'Basic Data'!B34</f>
        <v>3035347.1491335793</v>
      </c>
      <c r="F18" s="223"/>
      <c r="G18" s="51"/>
      <c r="H18" s="51"/>
    </row>
    <row r="19" spans="2:8" ht="12.75" hidden="1">
      <c r="B19" s="214"/>
      <c r="C19" s="204" t="s">
        <v>48</v>
      </c>
      <c r="D19" s="222">
        <f>D18-D17</f>
        <v>0</v>
      </c>
      <c r="E19" s="222">
        <f>E18-E17</f>
        <v>0</v>
      </c>
      <c r="F19" s="223"/>
      <c r="G19" s="51"/>
      <c r="H19" s="51"/>
    </row>
    <row r="20" spans="2:6" ht="12.75" hidden="1">
      <c r="B20" s="213"/>
      <c r="C20" s="219"/>
      <c r="D20" s="220"/>
      <c r="E20" s="220"/>
      <c r="F20" s="219"/>
    </row>
    <row r="21" spans="2:6" ht="12.75" hidden="1">
      <c r="B21" s="213"/>
      <c r="C21" s="219"/>
      <c r="D21" s="220"/>
      <c r="E21" s="220"/>
      <c r="F21" s="219"/>
    </row>
    <row r="22" spans="2:6" ht="12.75" hidden="1">
      <c r="B22" s="213" t="s">
        <v>69</v>
      </c>
      <c r="C22" s="221">
        <f>(SUM(C8:C14)-7*0.5)/28</f>
        <v>0.018571428571428555</v>
      </c>
      <c r="D22" s="220"/>
      <c r="E22" s="218"/>
      <c r="F22" s="219"/>
    </row>
    <row r="23" spans="3:6" ht="12.75" hidden="1">
      <c r="C23" s="219"/>
      <c r="D23" s="220"/>
      <c r="E23" s="220"/>
      <c r="F23" s="219"/>
    </row>
    <row r="24" spans="3:6" ht="12.75">
      <c r="C24" s="80"/>
      <c r="D24" s="79"/>
      <c r="E24" s="79"/>
      <c r="F24" s="80"/>
    </row>
    <row r="25" spans="3:6" ht="12.75">
      <c r="C25" s="80"/>
      <c r="D25" s="79"/>
      <c r="E25" s="79"/>
      <c r="F25" s="80"/>
    </row>
  </sheetData>
  <printOptions/>
  <pageMargins left="0.75" right="0.75" top="1" bottom="1" header="0.5" footer="0.5"/>
  <pageSetup orientation="landscape" paperSize="9"/>
  <legacyDrawing r:id="rId2"/>
</worksheet>
</file>

<file path=xl/worksheets/sheet3.xml><?xml version="1.0" encoding="utf-8"?>
<worksheet xmlns="http://schemas.openxmlformats.org/spreadsheetml/2006/main" xmlns:r="http://schemas.openxmlformats.org/officeDocument/2006/relationships">
  <dimension ref="A1:J26"/>
  <sheetViews>
    <sheetView zoomScale="150" zoomScaleNormal="150" workbookViewId="0" topLeftCell="A1">
      <selection activeCell="A17" sqref="A17:IV25"/>
    </sheetView>
  </sheetViews>
  <sheetFormatPr defaultColWidth="11.00390625" defaultRowHeight="12.75"/>
  <cols>
    <col min="1" max="1" width="3.625" style="1" customWidth="1"/>
    <col min="2" max="2" width="10.375" style="0" customWidth="1"/>
    <col min="3" max="3" width="10.125" style="0" customWidth="1"/>
    <col min="4" max="5" width="10.75390625" style="1" customWidth="1"/>
    <col min="9" max="9" width="0" style="1" hidden="1" customWidth="1"/>
  </cols>
  <sheetData>
    <row r="1" ht="22.5">
      <c r="A1" s="47" t="s">
        <v>51</v>
      </c>
    </row>
    <row r="2" spans="1:9" ht="39">
      <c r="A2" s="1" t="s">
        <v>50</v>
      </c>
      <c r="B2" s="41" t="s">
        <v>61</v>
      </c>
      <c r="C2" s="41" t="s">
        <v>44</v>
      </c>
      <c r="D2" s="76" t="s">
        <v>102</v>
      </c>
      <c r="E2" s="76" t="s">
        <v>25</v>
      </c>
      <c r="F2" s="48" t="s">
        <v>52</v>
      </c>
      <c r="G2" s="48" t="s">
        <v>53</v>
      </c>
      <c r="H2" s="48" t="s">
        <v>45</v>
      </c>
      <c r="I2" s="52" t="s">
        <v>49</v>
      </c>
    </row>
    <row r="3" spans="1:10" ht="12.75">
      <c r="A3" s="1">
        <v>1</v>
      </c>
      <c r="B3" s="1" t="s">
        <v>112</v>
      </c>
      <c r="C3" s="65">
        <v>0.5</v>
      </c>
      <c r="D3" s="77">
        <f>'Basic Data'!$C$30*$C3</f>
        <v>551631.4234655378</v>
      </c>
      <c r="E3" s="77">
        <f>'Basic Data'!$C$31*$C3</f>
        <v>232559.70658744368</v>
      </c>
      <c r="F3" s="49">
        <v>0</v>
      </c>
      <c r="G3" s="49">
        <v>0</v>
      </c>
      <c r="H3" s="49">
        <v>0</v>
      </c>
      <c r="I3" s="53">
        <f>E3*(1-'Basic Data'!$C$28)/'Basic Data'!$B$19/'Labor Cost'!$B$29</f>
        <v>1.3356525139471993</v>
      </c>
      <c r="J3" s="75"/>
    </row>
    <row r="4" spans="1:10" ht="12.75">
      <c r="A4" s="1">
        <v>2</v>
      </c>
      <c r="B4" s="1" t="s">
        <v>113</v>
      </c>
      <c r="C4" s="65">
        <f>1</f>
        <v>1</v>
      </c>
      <c r="D4" s="77">
        <f>'Basic Data'!$C$30*$C4</f>
        <v>1103262.8469310757</v>
      </c>
      <c r="E4" s="77">
        <f>'Basic Data'!$C$31*$C4</f>
        <v>465119.41317488736</v>
      </c>
      <c r="F4" s="49">
        <f>'Basic Data'!$C$30-$D4</f>
        <v>0</v>
      </c>
      <c r="G4" s="49">
        <f>'Basic Data'!$C$31-$E4</f>
        <v>0</v>
      </c>
      <c r="H4" s="49">
        <f aca="true" t="shared" si="0" ref="H4:H15">F4+G4</f>
        <v>0</v>
      </c>
      <c r="I4" s="53">
        <f>E4*(1-'Basic Data'!$C$28)/'Basic Data'!$B$19/'Labor Cost'!$B$29</f>
        <v>2.6713050278943986</v>
      </c>
      <c r="J4" s="75"/>
    </row>
    <row r="5" spans="1:10" ht="12.75">
      <c r="A5" s="1">
        <v>3</v>
      </c>
      <c r="B5" s="1" t="s">
        <v>114</v>
      </c>
      <c r="C5" s="65">
        <v>1</v>
      </c>
      <c r="D5" s="77">
        <f>'Basic Data'!$C$30*$C5</f>
        <v>1103262.8469310757</v>
      </c>
      <c r="E5" s="77">
        <f>'Basic Data'!$C$31*$C5</f>
        <v>465119.41317488736</v>
      </c>
      <c r="F5" s="49">
        <f>'Basic Data'!$C$30-$D5</f>
        <v>0</v>
      </c>
      <c r="G5" s="49">
        <f>'Basic Data'!$C$31-$E5</f>
        <v>0</v>
      </c>
      <c r="H5" s="49">
        <f t="shared" si="0"/>
        <v>0</v>
      </c>
      <c r="I5" s="53">
        <f>E5*(1-'Basic Data'!$C$28)/'Basic Data'!$B$19/'Labor Cost'!$B$29</f>
        <v>2.6713050278943986</v>
      </c>
      <c r="J5" s="75"/>
    </row>
    <row r="6" spans="1:10" ht="12.75">
      <c r="A6" s="1">
        <v>4</v>
      </c>
      <c r="B6" s="1" t="s">
        <v>115</v>
      </c>
      <c r="C6" s="65">
        <v>1</v>
      </c>
      <c r="D6" s="77">
        <f>'Basic Data'!$C$30*$C6</f>
        <v>1103262.8469310757</v>
      </c>
      <c r="E6" s="77">
        <f>'Basic Data'!$C$31*$C6</f>
        <v>465119.41317488736</v>
      </c>
      <c r="F6" s="49">
        <f>'Basic Data'!$C$30-$D6</f>
        <v>0</v>
      </c>
      <c r="G6" s="49">
        <f>'Basic Data'!$C$31-$E6</f>
        <v>0</v>
      </c>
      <c r="H6" s="49">
        <f t="shared" si="0"/>
        <v>0</v>
      </c>
      <c r="I6" s="53">
        <f>E6*(1-'Basic Data'!$C$28)/'Basic Data'!$B$19/'Labor Cost'!$B$29</f>
        <v>2.6713050278943986</v>
      </c>
      <c r="J6" s="75"/>
    </row>
    <row r="7" spans="1:10" ht="12.75">
      <c r="A7" s="1">
        <v>5</v>
      </c>
      <c r="B7" s="1" t="s">
        <v>116</v>
      </c>
      <c r="C7" s="65">
        <v>1</v>
      </c>
      <c r="D7" s="77">
        <f>'Basic Data'!$C$30*$C7</f>
        <v>1103262.8469310757</v>
      </c>
      <c r="E7" s="77">
        <f>'Basic Data'!$C$31*$C7</f>
        <v>465119.41317488736</v>
      </c>
      <c r="F7" s="49">
        <f>'Basic Data'!$C$30-$D7</f>
        <v>0</v>
      </c>
      <c r="G7" s="49">
        <f>'Basic Data'!$C$31-$E7</f>
        <v>0</v>
      </c>
      <c r="H7" s="49">
        <f t="shared" si="0"/>
        <v>0</v>
      </c>
      <c r="I7" s="53">
        <f>E7*(1-'Basic Data'!$C$28)/'Basic Data'!$B$19/'Labor Cost'!$B$29</f>
        <v>2.6713050278943986</v>
      </c>
      <c r="J7" s="75"/>
    </row>
    <row r="8" spans="1:10" ht="12.75">
      <c r="A8" s="1">
        <v>6</v>
      </c>
      <c r="B8" s="1" t="s">
        <v>117</v>
      </c>
      <c r="C8" s="65">
        <v>0.7</v>
      </c>
      <c r="D8" s="77">
        <f>'Basic Data'!$C$30*$C8</f>
        <v>772283.9928517529</v>
      </c>
      <c r="E8" s="77">
        <f>'Basic Data'!$C$31*$C8</f>
        <v>325583.5892224211</v>
      </c>
      <c r="F8" s="49">
        <f>'Basic Data'!$C$30-$D8</f>
        <v>330978.8540793228</v>
      </c>
      <c r="G8" s="49">
        <f>'Basic Data'!$C$31-$E8</f>
        <v>139535.82395246625</v>
      </c>
      <c r="H8" s="49">
        <f t="shared" si="0"/>
        <v>470514.678031789</v>
      </c>
      <c r="I8" s="53">
        <f>E8*(1-'Basic Data'!$C$28)/'Basic Data'!$B$19/'Labor Cost'!$B$29</f>
        <v>1.8699135195260788</v>
      </c>
      <c r="J8" s="75"/>
    </row>
    <row r="9" spans="1:10" ht="12.75">
      <c r="A9" s="1">
        <v>7</v>
      </c>
      <c r="B9" s="1" t="s">
        <v>118</v>
      </c>
      <c r="C9" s="65">
        <v>0.68</v>
      </c>
      <c r="D9" s="77">
        <f>'Basic Data'!$C$30*$C9</f>
        <v>750218.7359131315</v>
      </c>
      <c r="E9" s="77">
        <f>'Basic Data'!$C$31*$C9</f>
        <v>316281.20095892344</v>
      </c>
      <c r="F9" s="49">
        <f>'Basic Data'!$C$30-$D9</f>
        <v>353044.1110179442</v>
      </c>
      <c r="G9" s="49">
        <f>'Basic Data'!$C$31-$E9</f>
        <v>148838.21221596393</v>
      </c>
      <c r="H9" s="49">
        <f t="shared" si="0"/>
        <v>501882.3232339081</v>
      </c>
      <c r="I9" s="53">
        <f>E9*(1-'Basic Data'!$C$28)/'Basic Data'!$B$19/'Labor Cost'!$B$29</f>
        <v>1.8164874189681912</v>
      </c>
      <c r="J9" s="75"/>
    </row>
    <row r="10" spans="1:10" ht="12.75">
      <c r="A10" s="1">
        <v>8</v>
      </c>
      <c r="B10" s="1" t="s">
        <v>119</v>
      </c>
      <c r="C10" s="65">
        <v>0.65</v>
      </c>
      <c r="D10" s="77">
        <f>'Basic Data'!$C$30*$C10</f>
        <v>717120.8505051992</v>
      </c>
      <c r="E10" s="77">
        <f>'Basic Data'!$C$31*$C10</f>
        <v>302327.6185636768</v>
      </c>
      <c r="F10" s="49">
        <f>'Basic Data'!$C$30-$D10</f>
        <v>386141.9964258765</v>
      </c>
      <c r="G10" s="49">
        <f>'Basic Data'!$C$31-$E10</f>
        <v>162791.7946112106</v>
      </c>
      <c r="H10" s="49">
        <f t="shared" si="0"/>
        <v>548933.7910370871</v>
      </c>
      <c r="I10" s="53">
        <f>E10*(1-'Basic Data'!$C$28)/'Basic Data'!$B$19/'Labor Cost'!$B$29</f>
        <v>1.7363482681313587</v>
      </c>
      <c r="J10" s="75"/>
    </row>
    <row r="11" spans="1:10" ht="12.75">
      <c r="A11" s="1">
        <v>9</v>
      </c>
      <c r="B11" s="1" t="s">
        <v>120</v>
      </c>
      <c r="C11" s="65">
        <v>0.62</v>
      </c>
      <c r="D11" s="77">
        <f>'Basic Data'!$C$30*$C11</f>
        <v>684022.965097267</v>
      </c>
      <c r="E11" s="77">
        <f>'Basic Data'!$C$31*$C11</f>
        <v>288374.0361684302</v>
      </c>
      <c r="F11" s="49">
        <f>'Basic Data'!$C$30-$D11</f>
        <v>419239.88183380873</v>
      </c>
      <c r="G11" s="49">
        <f>'Basic Data'!$C$31-$E11</f>
        <v>176745.3770064572</v>
      </c>
      <c r="H11" s="49">
        <f t="shared" si="0"/>
        <v>595985.2588402659</v>
      </c>
      <c r="I11" s="53">
        <f>E11*(1-'Basic Data'!$C$28)/'Basic Data'!$B$19/'Labor Cost'!$B$29</f>
        <v>1.656209117294527</v>
      </c>
      <c r="J11" s="75"/>
    </row>
    <row r="12" spans="1:10" ht="12.75">
      <c r="A12" s="1">
        <v>10</v>
      </c>
      <c r="B12" s="1" t="s">
        <v>121</v>
      </c>
      <c r="C12" s="65">
        <v>0.59</v>
      </c>
      <c r="D12" s="77">
        <f>'Basic Data'!$C$30*$C12</f>
        <v>650925.0796893346</v>
      </c>
      <c r="E12" s="77">
        <f>'Basic Data'!$C$31*$C12</f>
        <v>274420.4537731835</v>
      </c>
      <c r="F12" s="49">
        <f>'Basic Data'!$C$30-$D12</f>
        <v>452337.76724174106</v>
      </c>
      <c r="G12" s="49">
        <f>'Basic Data'!$C$31-$E12</f>
        <v>190698.95940170385</v>
      </c>
      <c r="H12" s="49">
        <f t="shared" si="0"/>
        <v>643036.726643445</v>
      </c>
      <c r="I12" s="53">
        <f>E12*(1-'Basic Data'!$C$28)/'Basic Data'!$B$19/'Labor Cost'!$B$29</f>
        <v>1.576069966457695</v>
      </c>
      <c r="J12" s="75"/>
    </row>
    <row r="13" spans="1:10" ht="12.75">
      <c r="A13" s="1">
        <v>11</v>
      </c>
      <c r="B13" s="1" t="s">
        <v>122</v>
      </c>
      <c r="C13" s="65">
        <v>0.56</v>
      </c>
      <c r="D13" s="77">
        <f>'Basic Data'!$C$30*$C13</f>
        <v>617827.1942814024</v>
      </c>
      <c r="E13" s="77">
        <f>'Basic Data'!$C$31*$C13</f>
        <v>260466.87137793694</v>
      </c>
      <c r="F13" s="49">
        <f>'Basic Data'!$C$30-$D13</f>
        <v>485435.6526496733</v>
      </c>
      <c r="G13" s="49">
        <f>'Basic Data'!$C$31-$E13</f>
        <v>204652.54179695042</v>
      </c>
      <c r="H13" s="49">
        <f t="shared" si="0"/>
        <v>690088.1944466237</v>
      </c>
      <c r="I13" s="53">
        <f>E13*(1-'Basic Data'!$C$28)/'Basic Data'!$B$19/'Labor Cost'!$B$29</f>
        <v>1.4959308156208633</v>
      </c>
      <c r="J13" s="75"/>
    </row>
    <row r="14" spans="1:10" ht="12.75">
      <c r="A14" s="1">
        <v>12</v>
      </c>
      <c r="B14" s="1" t="s">
        <v>123</v>
      </c>
      <c r="C14" s="65">
        <v>0.53</v>
      </c>
      <c r="D14" s="77">
        <f>'Basic Data'!$C$30*$C14</f>
        <v>584729.3088734702</v>
      </c>
      <c r="E14" s="77">
        <f>'Basic Data'!$C$31*$C14</f>
        <v>246513.2889826903</v>
      </c>
      <c r="F14" s="49">
        <f>'Basic Data'!$C$30-$D14</f>
        <v>518533.5380576055</v>
      </c>
      <c r="G14" s="49">
        <f>'Basic Data'!$C$31-$E14</f>
        <v>218606.12419219705</v>
      </c>
      <c r="H14" s="49">
        <f t="shared" si="0"/>
        <v>737139.6622498026</v>
      </c>
      <c r="I14" s="53">
        <f>E14*(1-'Basic Data'!$C$28)/'Basic Data'!$B$19/'Labor Cost'!$B$29</f>
        <v>1.4157916647840312</v>
      </c>
      <c r="J14" s="75"/>
    </row>
    <row r="15" spans="1:10" ht="12.75">
      <c r="A15" s="1">
        <v>13</v>
      </c>
      <c r="B15" s="1" t="s">
        <v>124</v>
      </c>
      <c r="C15" s="65">
        <f>(D18-SUM(D3:D14))/'Basic Data'!$C$30</f>
        <v>0.4981759171638707</v>
      </c>
      <c r="D15" s="77">
        <f>'Basic Data'!$C$30*$C15</f>
        <v>549618.9806427117</v>
      </c>
      <c r="E15" s="77">
        <f>'Basic Data'!$C$31*$C15</f>
        <v>231711.29024912085</v>
      </c>
      <c r="F15" s="49">
        <f>'Basic Data'!$C$30-$D15</f>
        <v>553643.8662883639</v>
      </c>
      <c r="G15" s="49">
        <f>'Basic Data'!$C$31-$E15</f>
        <v>233408.1229257665</v>
      </c>
      <c r="H15" s="49">
        <f t="shared" si="0"/>
        <v>787051.9892141304</v>
      </c>
      <c r="I15" s="53">
        <f>E15*(1-'Basic Data'!$C$28)/'Basic Data'!$B$19/'Labor Cost'!$B$29</f>
        <v>1.3307798322957514</v>
      </c>
      <c r="J15" s="75"/>
    </row>
    <row r="16" spans="2:8" ht="12.75">
      <c r="B16" s="1"/>
      <c r="C16" s="42"/>
      <c r="D16" s="78"/>
      <c r="E16" s="78"/>
      <c r="F16" s="42"/>
      <c r="G16" s="42"/>
      <c r="H16" s="42"/>
    </row>
    <row r="17" spans="2:8" ht="12.75" hidden="1">
      <c r="B17" s="213"/>
      <c r="C17" s="203" t="s">
        <v>46</v>
      </c>
      <c r="D17" s="222">
        <f>SUM(D3:D16)</f>
        <v>10291429.91904411</v>
      </c>
      <c r="E17" s="222">
        <f>SUM(E3:E16)</f>
        <v>4338715.708583376</v>
      </c>
      <c r="F17" s="223"/>
      <c r="G17" s="204" t="s">
        <v>45</v>
      </c>
      <c r="H17" s="51">
        <f>SUM(H3:H16)</f>
        <v>4974632.623697052</v>
      </c>
    </row>
    <row r="18" spans="2:8" ht="12.75" hidden="1">
      <c r="B18" s="213"/>
      <c r="C18" s="203" t="s">
        <v>47</v>
      </c>
      <c r="D18" s="224">
        <f>'Basic Data'!C25*(1-'Basic Data'!C34)</f>
        <v>10291429.91904411</v>
      </c>
      <c r="E18" s="224">
        <f>'Basic Data'!C25*'Basic Data'!C34</f>
        <v>4338715.708583377</v>
      </c>
      <c r="F18" s="223"/>
      <c r="G18" s="51"/>
      <c r="H18" s="51"/>
    </row>
    <row r="19" spans="2:8" ht="12.75" hidden="1">
      <c r="B19" s="214"/>
      <c r="C19" s="204" t="s">
        <v>48</v>
      </c>
      <c r="D19" s="222">
        <f>D18-D17</f>
        <v>0</v>
      </c>
      <c r="E19" s="222">
        <f>E18-E17</f>
        <v>0</v>
      </c>
      <c r="F19" s="223"/>
      <c r="G19" s="51"/>
      <c r="H19" s="51"/>
    </row>
    <row r="20" spans="2:6" ht="12.75" hidden="1">
      <c r="B20" s="213"/>
      <c r="C20" s="219"/>
      <c r="D20" s="220"/>
      <c r="E20" s="220"/>
      <c r="F20" s="219"/>
    </row>
    <row r="21" spans="2:6" ht="12.75" hidden="1">
      <c r="B21" s="213"/>
      <c r="C21" s="219"/>
      <c r="D21" s="220"/>
      <c r="E21" s="220"/>
      <c r="F21" s="219"/>
    </row>
    <row r="22" spans="2:6" ht="12.75" hidden="1">
      <c r="B22" s="213" t="s">
        <v>69</v>
      </c>
      <c r="C22" s="221">
        <f>(SUM(C8:C14)-7*0.5)/28</f>
        <v>0.029642857142857144</v>
      </c>
      <c r="D22" s="218"/>
      <c r="E22" s="220"/>
      <c r="F22" s="219"/>
    </row>
    <row r="23" spans="3:6" ht="12.75" hidden="1">
      <c r="C23" s="219"/>
      <c r="D23" s="220"/>
      <c r="E23" s="220"/>
      <c r="F23" s="219"/>
    </row>
    <row r="24" spans="3:6" ht="12.75" hidden="1">
      <c r="C24" s="219"/>
      <c r="D24" s="220"/>
      <c r="E24" s="220"/>
      <c r="F24" s="219"/>
    </row>
    <row r="25" spans="3:6" ht="12.75" hidden="1">
      <c r="C25" s="225"/>
      <c r="D25" s="226"/>
      <c r="E25" s="226"/>
      <c r="F25" s="225"/>
    </row>
    <row r="26" spans="3:6" ht="12.75">
      <c r="C26" s="225"/>
      <c r="D26" s="226"/>
      <c r="E26" s="226"/>
      <c r="F26" s="225"/>
    </row>
  </sheetData>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J26"/>
  <sheetViews>
    <sheetView zoomScale="150" zoomScaleNormal="150" workbookViewId="0" topLeftCell="A1">
      <selection activeCell="A17" sqref="A17:IV22"/>
    </sheetView>
  </sheetViews>
  <sheetFormatPr defaultColWidth="11.00390625" defaultRowHeight="12.75"/>
  <cols>
    <col min="1" max="1" width="3.625" style="1" customWidth="1"/>
    <col min="2" max="2" width="9.25390625" style="0" customWidth="1"/>
    <col min="3" max="3" width="10.125" style="0" customWidth="1"/>
    <col min="4" max="4" width="11.00390625" style="1" bestFit="1" customWidth="1"/>
    <col min="5" max="5" width="10.75390625" style="1" customWidth="1"/>
    <col min="9" max="9" width="12.625" style="1" hidden="1" customWidth="1"/>
  </cols>
  <sheetData>
    <row r="1" ht="22.5">
      <c r="A1" s="47" t="s">
        <v>90</v>
      </c>
    </row>
    <row r="2" spans="1:9" ht="39">
      <c r="A2" s="1" t="s">
        <v>50</v>
      </c>
      <c r="B2" s="41" t="s">
        <v>61</v>
      </c>
      <c r="C2" s="41" t="s">
        <v>44</v>
      </c>
      <c r="D2" s="76" t="s">
        <v>101</v>
      </c>
      <c r="E2" s="76" t="s">
        <v>25</v>
      </c>
      <c r="F2" s="48" t="s">
        <v>52</v>
      </c>
      <c r="G2" s="48" t="s">
        <v>53</v>
      </c>
      <c r="H2" s="48" t="s">
        <v>45</v>
      </c>
      <c r="I2" s="52" t="s">
        <v>49</v>
      </c>
    </row>
    <row r="3" spans="1:10" ht="12.75">
      <c r="A3" s="1">
        <v>1</v>
      </c>
      <c r="B3" s="1" t="s">
        <v>112</v>
      </c>
      <c r="C3" s="65">
        <v>0.5</v>
      </c>
      <c r="D3" s="77">
        <f>'Basic Data'!$D$30*$C3</f>
        <v>27999.121897819878</v>
      </c>
      <c r="E3" s="77">
        <f>'Basic Data'!$D$31*$C3</f>
        <v>7855.785466746485</v>
      </c>
      <c r="F3" s="49">
        <v>0</v>
      </c>
      <c r="G3" s="49">
        <v>0</v>
      </c>
      <c r="H3" s="49">
        <v>0</v>
      </c>
      <c r="I3" s="53">
        <f>E3*(1-'Basic Data'!$D$28)/'Basic Data'!$B$19/'Labor Cost'!$B$29</f>
        <v>0.04511787429412043</v>
      </c>
      <c r="J3" s="75"/>
    </row>
    <row r="4" spans="1:10" ht="12.75">
      <c r="A4" s="1">
        <v>2</v>
      </c>
      <c r="B4" s="1" t="s">
        <v>113</v>
      </c>
      <c r="C4" s="65">
        <f>1</f>
        <v>1</v>
      </c>
      <c r="D4" s="77">
        <f>'Basic Data'!$D$30*$C4</f>
        <v>55998.243795639755</v>
      </c>
      <c r="E4" s="77">
        <f>'Basic Data'!$D$31*$C4</f>
        <v>15711.57093349297</v>
      </c>
      <c r="F4" s="49">
        <f>'Basic Data'!$D$30-$D4</f>
        <v>0</v>
      </c>
      <c r="G4" s="49">
        <f>'Basic Data'!$D$31-$E4</f>
        <v>0</v>
      </c>
      <c r="H4" s="49">
        <f aca="true" t="shared" si="0" ref="H4:H15">F4+G4</f>
        <v>0</v>
      </c>
      <c r="I4" s="53">
        <f>E4*(1-'Basic Data'!$D$28)/'Basic Data'!$B$19/'Labor Cost'!$B$29</f>
        <v>0.09023574858824086</v>
      </c>
      <c r="J4" s="75"/>
    </row>
    <row r="5" spans="1:10" ht="12.75">
      <c r="A5" s="1">
        <v>3</v>
      </c>
      <c r="B5" s="1" t="s">
        <v>114</v>
      </c>
      <c r="C5" s="65">
        <v>1</v>
      </c>
      <c r="D5" s="77">
        <f>'Basic Data'!$D$30*$C5</f>
        <v>55998.243795639755</v>
      </c>
      <c r="E5" s="77">
        <f>'Basic Data'!$D$31*$C5</f>
        <v>15711.57093349297</v>
      </c>
      <c r="F5" s="49">
        <f>'Basic Data'!$D$30-$D5</f>
        <v>0</v>
      </c>
      <c r="G5" s="49">
        <f>'Basic Data'!$D$31-$E5</f>
        <v>0</v>
      </c>
      <c r="H5" s="49">
        <f t="shared" si="0"/>
        <v>0</v>
      </c>
      <c r="I5" s="53">
        <f>E5*(1-'Basic Data'!$D$28)/'Basic Data'!$B$19/'Labor Cost'!$B$29</f>
        <v>0.09023574858824086</v>
      </c>
      <c r="J5" s="75"/>
    </row>
    <row r="6" spans="1:10" ht="12.75">
      <c r="A6" s="1">
        <v>4</v>
      </c>
      <c r="B6" s="1" t="s">
        <v>115</v>
      </c>
      <c r="C6" s="65">
        <v>1</v>
      </c>
      <c r="D6" s="77">
        <f>'Basic Data'!$D$30*$C6</f>
        <v>55998.243795639755</v>
      </c>
      <c r="E6" s="77">
        <f>'Basic Data'!$D$31*$C6</f>
        <v>15711.57093349297</v>
      </c>
      <c r="F6" s="49">
        <f>'Basic Data'!$D$30-$D6</f>
        <v>0</v>
      </c>
      <c r="G6" s="49">
        <f>'Basic Data'!$D$31-$E6</f>
        <v>0</v>
      </c>
      <c r="H6" s="49">
        <f t="shared" si="0"/>
        <v>0</v>
      </c>
      <c r="I6" s="53">
        <f>E6*(1-'Basic Data'!$D$28)/'Basic Data'!$B$19/'Labor Cost'!$B$29</f>
        <v>0.09023574858824086</v>
      </c>
      <c r="J6" s="75"/>
    </row>
    <row r="7" spans="1:10" ht="12.75">
      <c r="A7" s="1">
        <v>5</v>
      </c>
      <c r="B7" s="1" t="s">
        <v>116</v>
      </c>
      <c r="C7" s="65">
        <v>1</v>
      </c>
      <c r="D7" s="77">
        <f>'Basic Data'!$D$30*$C7</f>
        <v>55998.243795639755</v>
      </c>
      <c r="E7" s="77">
        <f>'Basic Data'!$D$31*$C7</f>
        <v>15711.57093349297</v>
      </c>
      <c r="F7" s="49">
        <f>'Basic Data'!$D$30-$D7</f>
        <v>0</v>
      </c>
      <c r="G7" s="49">
        <f>'Basic Data'!$D$31-$E7</f>
        <v>0</v>
      </c>
      <c r="H7" s="49">
        <f t="shared" si="0"/>
        <v>0</v>
      </c>
      <c r="I7" s="53">
        <f>E7*(1-'Basic Data'!$D$28)/'Basic Data'!$B$19/'Labor Cost'!$B$29</f>
        <v>0.09023574858824086</v>
      </c>
      <c r="J7" s="75"/>
    </row>
    <row r="8" spans="1:10" ht="12.75">
      <c r="A8" s="1">
        <v>6</v>
      </c>
      <c r="B8" s="1" t="s">
        <v>117</v>
      </c>
      <c r="C8" s="65">
        <v>1</v>
      </c>
      <c r="D8" s="77">
        <f>'Basic Data'!$D$30*$C8</f>
        <v>55998.243795639755</v>
      </c>
      <c r="E8" s="77">
        <f>'Basic Data'!$D$31*$C8</f>
        <v>15711.57093349297</v>
      </c>
      <c r="F8" s="49">
        <f>'Basic Data'!$D$30-$D8</f>
        <v>0</v>
      </c>
      <c r="G8" s="49">
        <f>'Basic Data'!$D$31-$E8</f>
        <v>0</v>
      </c>
      <c r="H8" s="49">
        <f t="shared" si="0"/>
        <v>0</v>
      </c>
      <c r="I8" s="53">
        <f>E8*(1-'Basic Data'!$D$28)/'Basic Data'!$B$19/'Labor Cost'!$B$29</f>
        <v>0.09023574858824086</v>
      </c>
      <c r="J8" s="75"/>
    </row>
    <row r="9" spans="1:10" ht="12.75">
      <c r="A9" s="1">
        <v>7</v>
      </c>
      <c r="B9" s="1" t="s">
        <v>118</v>
      </c>
      <c r="C9" s="65">
        <v>1</v>
      </c>
      <c r="D9" s="77">
        <f>'Basic Data'!$D$30*$C9</f>
        <v>55998.243795639755</v>
      </c>
      <c r="E9" s="77">
        <f>'Basic Data'!$D$31*$C9</f>
        <v>15711.57093349297</v>
      </c>
      <c r="F9" s="49">
        <f>'Basic Data'!$D$30-$D9</f>
        <v>0</v>
      </c>
      <c r="G9" s="49">
        <f>'Basic Data'!$D$31-$E9</f>
        <v>0</v>
      </c>
      <c r="H9" s="49">
        <f t="shared" si="0"/>
        <v>0</v>
      </c>
      <c r="I9" s="53">
        <f>E9*(1-'Basic Data'!$D$28)/'Basic Data'!$B$19/'Labor Cost'!$B$29</f>
        <v>0.09023574858824086</v>
      </c>
      <c r="J9" s="75"/>
    </row>
    <row r="10" spans="1:10" ht="12.75">
      <c r="A10" s="1">
        <v>8</v>
      </c>
      <c r="B10" s="1" t="s">
        <v>119</v>
      </c>
      <c r="C10" s="65">
        <v>1</v>
      </c>
      <c r="D10" s="77">
        <f>'Basic Data'!$D$30*$C10</f>
        <v>55998.243795639755</v>
      </c>
      <c r="E10" s="77">
        <f>'Basic Data'!$D$31*$C10</f>
        <v>15711.57093349297</v>
      </c>
      <c r="F10" s="49">
        <f>'Basic Data'!$D$30-$D10</f>
        <v>0</v>
      </c>
      <c r="G10" s="49">
        <f>'Basic Data'!$D$31-$E10</f>
        <v>0</v>
      </c>
      <c r="H10" s="49">
        <f t="shared" si="0"/>
        <v>0</v>
      </c>
      <c r="I10" s="53">
        <f>E10*(1-'Basic Data'!$D$28)/'Basic Data'!$B$19/'Labor Cost'!$B$29</f>
        <v>0.09023574858824086</v>
      </c>
      <c r="J10" s="75"/>
    </row>
    <row r="11" spans="1:10" ht="12.75">
      <c r="A11" s="1">
        <v>9</v>
      </c>
      <c r="B11" s="1" t="s">
        <v>120</v>
      </c>
      <c r="C11" s="65">
        <v>1</v>
      </c>
      <c r="D11" s="77">
        <f>'Basic Data'!$D$30*$C11</f>
        <v>55998.243795639755</v>
      </c>
      <c r="E11" s="77">
        <f>'Basic Data'!$D$31*$C11</f>
        <v>15711.57093349297</v>
      </c>
      <c r="F11" s="49">
        <f>'Basic Data'!$D$30-$D11</f>
        <v>0</v>
      </c>
      <c r="G11" s="49">
        <f>'Basic Data'!$D$31-$E11</f>
        <v>0</v>
      </c>
      <c r="H11" s="49">
        <f t="shared" si="0"/>
        <v>0</v>
      </c>
      <c r="I11" s="53">
        <f>E11*(1-'Basic Data'!$D$28)/'Basic Data'!$B$19/'Labor Cost'!$B$29</f>
        <v>0.09023574858824086</v>
      </c>
      <c r="J11" s="75"/>
    </row>
    <row r="12" spans="1:10" ht="12.75">
      <c r="A12" s="1">
        <v>10</v>
      </c>
      <c r="B12" s="1" t="s">
        <v>121</v>
      </c>
      <c r="C12" s="65">
        <v>1</v>
      </c>
      <c r="D12" s="77">
        <f>'Basic Data'!$D$30*$C12</f>
        <v>55998.243795639755</v>
      </c>
      <c r="E12" s="77">
        <f>'Basic Data'!$D$31*$C12</f>
        <v>15711.57093349297</v>
      </c>
      <c r="F12" s="49">
        <f>'Basic Data'!$D$30-$D12</f>
        <v>0</v>
      </c>
      <c r="G12" s="49">
        <f>'Basic Data'!$D$31-$E12</f>
        <v>0</v>
      </c>
      <c r="H12" s="49">
        <f t="shared" si="0"/>
        <v>0</v>
      </c>
      <c r="I12" s="53">
        <f>E12*(1-'Basic Data'!$D$28)/'Basic Data'!$B$19/'Labor Cost'!$B$29</f>
        <v>0.09023574858824086</v>
      </c>
      <c r="J12" s="75"/>
    </row>
    <row r="13" spans="1:10" ht="12.75">
      <c r="A13" s="1">
        <v>11</v>
      </c>
      <c r="B13" s="1" t="s">
        <v>122</v>
      </c>
      <c r="C13" s="65">
        <v>1</v>
      </c>
      <c r="D13" s="77">
        <f>'Basic Data'!$D$30*$C13</f>
        <v>55998.243795639755</v>
      </c>
      <c r="E13" s="77">
        <f>'Basic Data'!$D$31*$C13</f>
        <v>15711.57093349297</v>
      </c>
      <c r="F13" s="49">
        <f>'Basic Data'!$D$30-$D13</f>
        <v>0</v>
      </c>
      <c r="G13" s="49">
        <f>'Basic Data'!$D$31-$E13</f>
        <v>0</v>
      </c>
      <c r="H13" s="49">
        <f t="shared" si="0"/>
        <v>0</v>
      </c>
      <c r="I13" s="53">
        <f>E13*(1-'Basic Data'!$D$28)/'Basic Data'!$B$19/'Labor Cost'!$B$29</f>
        <v>0.09023574858824086</v>
      </c>
      <c r="J13" s="75"/>
    </row>
    <row r="14" spans="1:10" ht="12.75">
      <c r="A14" s="1">
        <v>12</v>
      </c>
      <c r="B14" s="1" t="s">
        <v>123</v>
      </c>
      <c r="C14" s="65">
        <v>1</v>
      </c>
      <c r="D14" s="77">
        <f>'Basic Data'!$D$30*$C14</f>
        <v>55998.243795639755</v>
      </c>
      <c r="E14" s="77">
        <f>'Basic Data'!$D$31*$C14</f>
        <v>15711.57093349297</v>
      </c>
      <c r="F14" s="49">
        <f>'Basic Data'!$D$30-$D14</f>
        <v>0</v>
      </c>
      <c r="G14" s="49">
        <f>'Basic Data'!$D$31-$E14</f>
        <v>0</v>
      </c>
      <c r="H14" s="49">
        <f t="shared" si="0"/>
        <v>0</v>
      </c>
      <c r="I14" s="53">
        <f>E14*(1-'Basic Data'!$D$28)/'Basic Data'!$B$19/'Labor Cost'!$B$29</f>
        <v>0.09023574858824086</v>
      </c>
      <c r="J14" s="75"/>
    </row>
    <row r="15" spans="1:10" ht="12.75">
      <c r="A15" s="1">
        <v>13</v>
      </c>
      <c r="B15" s="1" t="s">
        <v>124</v>
      </c>
      <c r="C15" s="65">
        <v>1</v>
      </c>
      <c r="D15" s="77">
        <f>'Basic Data'!$D$30*$C15</f>
        <v>55998.243795639755</v>
      </c>
      <c r="E15" s="77">
        <f>'Basic Data'!$D$31*$C15</f>
        <v>15711.57093349297</v>
      </c>
      <c r="F15" s="49">
        <f>'Basic Data'!$D$30-$D15</f>
        <v>0</v>
      </c>
      <c r="G15" s="49">
        <f>'Basic Data'!$D$31-$E15</f>
        <v>0</v>
      </c>
      <c r="H15" s="49">
        <f t="shared" si="0"/>
        <v>0</v>
      </c>
      <c r="I15" s="53">
        <f>E15*(1-'Basic Data'!$D$28)/'Basic Data'!$B$19/'Labor Cost'!$B$29</f>
        <v>0.09023574858824086</v>
      </c>
      <c r="J15" s="75"/>
    </row>
    <row r="16" spans="2:8" ht="12.75">
      <c r="B16" s="1"/>
      <c r="C16" s="42"/>
      <c r="D16" s="78"/>
      <c r="E16" s="78"/>
      <c r="F16" s="42"/>
      <c r="G16" s="42"/>
      <c r="H16" s="42"/>
    </row>
    <row r="17" spans="3:8" ht="12.75" hidden="1">
      <c r="C17" s="203" t="s">
        <v>46</v>
      </c>
      <c r="D17" s="227">
        <f>SUM(D3:D16)</f>
        <v>699978.0474454969</v>
      </c>
      <c r="E17" s="227">
        <f>SUM(E3:E16)</f>
        <v>196394.63666866213</v>
      </c>
      <c r="F17" s="228"/>
      <c r="G17" s="204" t="s">
        <v>45</v>
      </c>
      <c r="H17" s="51">
        <f>SUM(H3:H16)</f>
        <v>0</v>
      </c>
    </row>
    <row r="18" spans="3:8" ht="12.75" hidden="1">
      <c r="C18" s="203" t="s">
        <v>47</v>
      </c>
      <c r="D18" s="229">
        <f>'Basic Data'!D25*(1-'Basic Data'!D34)</f>
        <v>761160.8192541013</v>
      </c>
      <c r="E18" s="229">
        <f>'Basic Data'!D25*'Basic Data'!D34</f>
        <v>213560.84392842356</v>
      </c>
      <c r="F18" s="228"/>
      <c r="G18" s="51"/>
      <c r="H18" s="51"/>
    </row>
    <row r="19" spans="2:8" ht="12.75" hidden="1">
      <c r="B19" s="1"/>
      <c r="C19" s="204" t="s">
        <v>48</v>
      </c>
      <c r="D19" s="227">
        <f>D18-D17</f>
        <v>61182.77180860436</v>
      </c>
      <c r="E19" s="227">
        <f>E18-E17</f>
        <v>17166.20725976143</v>
      </c>
      <c r="F19" s="228"/>
      <c r="G19" s="51"/>
      <c r="H19" s="51"/>
    </row>
    <row r="20" spans="3:6" ht="12.75" hidden="1">
      <c r="C20" s="213"/>
      <c r="D20" s="214"/>
      <c r="E20" s="214"/>
      <c r="F20" s="213"/>
    </row>
    <row r="21" spans="3:5" ht="12.75" hidden="1">
      <c r="C21" s="215"/>
      <c r="D21" s="216"/>
      <c r="E21" s="216"/>
    </row>
    <row r="22" spans="3:5" ht="12.75" hidden="1">
      <c r="C22" s="215"/>
      <c r="D22" s="216"/>
      <c r="E22" s="216"/>
    </row>
    <row r="23" spans="3:5" ht="12.75">
      <c r="C23" s="215"/>
      <c r="D23" s="230"/>
      <c r="E23" s="216"/>
    </row>
    <row r="24" spans="3:5" ht="12.75">
      <c r="C24" s="215"/>
      <c r="D24" s="216"/>
      <c r="E24" s="216"/>
    </row>
    <row r="25" spans="3:5" ht="12.75">
      <c r="C25" s="215"/>
      <c r="D25" s="216"/>
      <c r="E25" s="216"/>
    </row>
    <row r="26" spans="3:5" ht="12.75">
      <c r="C26" s="215"/>
      <c r="D26" s="216"/>
      <c r="E26" s="216"/>
    </row>
  </sheetData>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zoomScale="140" zoomScaleNormal="140" workbookViewId="0" topLeftCell="A1">
      <selection activeCell="A1" sqref="A1"/>
    </sheetView>
  </sheetViews>
  <sheetFormatPr defaultColWidth="11.00390625" defaultRowHeight="12.75"/>
  <cols>
    <col min="1" max="1" width="30.75390625" style="2" customWidth="1"/>
    <col min="2" max="2" width="14.875" style="0" customWidth="1"/>
    <col min="3" max="3" width="15.125" style="0" customWidth="1"/>
    <col min="4" max="4" width="14.875" style="1" customWidth="1"/>
    <col min="5" max="5" width="10.875" style="42" customWidth="1"/>
    <col min="6" max="6" width="10.125" style="42" customWidth="1"/>
    <col min="7" max="7" width="11.125" style="42" customWidth="1"/>
    <col min="8" max="8" width="11.00390625" style="42" customWidth="1"/>
    <col min="9" max="9" width="11.625" style="42" customWidth="1"/>
    <col min="10" max="10" width="13.125" style="42" customWidth="1"/>
    <col min="11" max="11" width="10.75390625" style="42" customWidth="1"/>
  </cols>
  <sheetData>
    <row r="1" ht="22.5">
      <c r="A1" s="83" t="s">
        <v>125</v>
      </c>
    </row>
    <row r="2" ht="12.75"/>
    <row r="3" spans="1:2" ht="12.75">
      <c r="A3" s="74" t="s">
        <v>126</v>
      </c>
      <c r="B3" s="60">
        <v>37741</v>
      </c>
    </row>
    <row r="4" spans="1:2" ht="12.75">
      <c r="A4" s="59"/>
      <c r="B4" s="61"/>
    </row>
    <row r="5" spans="1:2" ht="12.75">
      <c r="A5" s="74" t="s">
        <v>146</v>
      </c>
      <c r="B5" s="60">
        <v>38654</v>
      </c>
    </row>
    <row r="6" spans="1:2" ht="12.75">
      <c r="A6" s="59"/>
      <c r="B6" s="61"/>
    </row>
    <row r="7" spans="1:2" ht="12.75">
      <c r="A7" s="74" t="s">
        <v>147</v>
      </c>
      <c r="B7" s="60">
        <v>43220</v>
      </c>
    </row>
    <row r="8" spans="1:2" ht="12.75">
      <c r="A8" s="59"/>
      <c r="B8" s="61"/>
    </row>
    <row r="9" spans="1:2" ht="12.75">
      <c r="A9" s="74" t="s">
        <v>148</v>
      </c>
      <c r="B9" s="62">
        <f>YEARFRAC(B5,B7,1)</f>
        <v>12.502249168785449</v>
      </c>
    </row>
    <row r="10" ht="12.75"/>
    <row r="11" spans="1:5" ht="25.5" customHeight="1">
      <c r="A11" s="63"/>
      <c r="B11" s="64" t="s">
        <v>88</v>
      </c>
      <c r="C11" s="64" t="s">
        <v>51</v>
      </c>
      <c r="D11" s="64" t="s">
        <v>90</v>
      </c>
      <c r="E11" s="64" t="s">
        <v>67</v>
      </c>
    </row>
    <row r="12" spans="1:5" ht="12.75">
      <c r="A12" s="58"/>
      <c r="B12" s="66"/>
      <c r="C12" s="66"/>
      <c r="D12" s="66"/>
      <c r="E12" s="66"/>
    </row>
    <row r="13" spans="1:5" ht="12.75">
      <c r="A13" s="50" t="s">
        <v>144</v>
      </c>
      <c r="B13" s="66">
        <f>'Current Inventory'!B9</f>
        <v>2633</v>
      </c>
      <c r="C13" s="66">
        <f>'Current Inventory'!C9</f>
        <v>3638</v>
      </c>
      <c r="D13" s="66">
        <f>'Current Inventory'!D9</f>
        <v>161</v>
      </c>
      <c r="E13" s="66">
        <f>SUM(B13:D13)</f>
        <v>6432</v>
      </c>
    </row>
    <row r="14" spans="1:5" ht="12.75">
      <c r="A14" s="50"/>
      <c r="B14" s="66"/>
      <c r="C14" s="66"/>
      <c r="D14" s="66"/>
      <c r="E14" s="66"/>
    </row>
    <row r="15" spans="1:5" ht="12.75">
      <c r="A15" s="50" t="s">
        <v>145</v>
      </c>
      <c r="B15" s="66">
        <f>B13/5</f>
        <v>526.6</v>
      </c>
      <c r="C15" s="66">
        <f>C13/5</f>
        <v>727.6</v>
      </c>
      <c r="D15" s="66">
        <f>D13/5</f>
        <v>32.2</v>
      </c>
      <c r="E15" s="66">
        <f>SUM(B15:D15)</f>
        <v>1286.4</v>
      </c>
    </row>
    <row r="16" spans="2:5" ht="12.75">
      <c r="B16" s="67"/>
      <c r="C16" s="67"/>
      <c r="D16" s="67"/>
      <c r="E16" s="67"/>
    </row>
    <row r="17" spans="1:5" ht="12.75">
      <c r="A17" s="56" t="s">
        <v>141</v>
      </c>
      <c r="B17" s="68"/>
      <c r="C17" s="68"/>
      <c r="D17" s="68"/>
      <c r="E17" s="67"/>
    </row>
    <row r="18" spans="1:5" ht="12.75">
      <c r="A18" s="40" t="s">
        <v>157</v>
      </c>
      <c r="B18" s="68">
        <f>'Replacement Cost'!B8</f>
        <v>1432.7557230142568</v>
      </c>
      <c r="C18" s="68">
        <f>'Replacement Cost'!C8</f>
        <v>1432.7557230142568</v>
      </c>
      <c r="D18" s="68">
        <f>'Replacement Cost'!D8</f>
        <v>1643.2528125</v>
      </c>
      <c r="E18" s="67"/>
    </row>
    <row r="19" spans="1:6" ht="12.75">
      <c r="A19" s="40" t="s">
        <v>75</v>
      </c>
      <c r="B19" s="86">
        <f>'Replacement Cost'!B16</f>
        <v>605.8681925191953</v>
      </c>
      <c r="C19" s="69">
        <f>'Replacement Cost'!C16</f>
        <v>605.8681925191953</v>
      </c>
      <c r="D19" s="84">
        <f>'Replacement Cost'!D16</f>
        <v>462.45567767245194</v>
      </c>
      <c r="E19" s="85"/>
      <c r="F19" s="45"/>
    </row>
    <row r="20" spans="1:5" ht="12.75">
      <c r="A20" s="40" t="s">
        <v>74</v>
      </c>
      <c r="B20" s="68">
        <f>SUM(B18:B19)</f>
        <v>2038.623915533452</v>
      </c>
      <c r="C20" s="68">
        <f>SUM(C18:C19)</f>
        <v>2038.623915533452</v>
      </c>
      <c r="D20" s="68">
        <f>SUM(D18:D19)</f>
        <v>2105.708490172452</v>
      </c>
      <c r="E20" s="67"/>
    </row>
    <row r="21" spans="1:5" ht="12.75">
      <c r="A21" s="1"/>
      <c r="B21" s="67"/>
      <c r="C21" s="67"/>
      <c r="D21" s="67"/>
      <c r="E21" s="67"/>
    </row>
    <row r="22" spans="1:5" ht="12.75">
      <c r="A22" s="54" t="s">
        <v>142</v>
      </c>
      <c r="B22" s="70"/>
      <c r="C22" s="70"/>
      <c r="D22" s="70"/>
      <c r="E22" s="70"/>
    </row>
    <row r="23" spans="1:6" ht="12.75">
      <c r="A23" s="55" t="s">
        <v>71</v>
      </c>
      <c r="B23" s="70">
        <v>9517966.24</v>
      </c>
      <c r="C23" s="70">
        <v>13639164.75</v>
      </c>
      <c r="D23" s="70">
        <v>930865.72</v>
      </c>
      <c r="E23" s="70">
        <f>SUM(B23:D23)</f>
        <v>24087996.71</v>
      </c>
      <c r="F23" s="82" t="s">
        <v>156</v>
      </c>
    </row>
    <row r="24" spans="1:6" ht="12.75">
      <c r="A24" s="55" t="s">
        <v>72</v>
      </c>
      <c r="B24" s="71">
        <f>'Fund Balance'!B20*'Basic Data'!E24</f>
        <v>717221.7291899875</v>
      </c>
      <c r="C24" s="71">
        <f>'Fund Balance'!C20*'Basic Data'!E24</f>
        <v>990980.8776274876</v>
      </c>
      <c r="D24" s="71">
        <f>'Fund Balance'!D20*'Basic Data'!E24</f>
        <v>43855.943182524876</v>
      </c>
      <c r="E24" s="71">
        <v>1752058.55</v>
      </c>
      <c r="F24" s="82" t="s">
        <v>155</v>
      </c>
    </row>
    <row r="25" spans="1:5" ht="12.75">
      <c r="A25" s="55" t="s">
        <v>73</v>
      </c>
      <c r="B25" s="70">
        <f>SUM(B23:B24)</f>
        <v>10235187.969189988</v>
      </c>
      <c r="C25" s="70">
        <f>SUM(C23:C24)</f>
        <v>14630145.627627488</v>
      </c>
      <c r="D25" s="70">
        <f>SUM(D23:D24)</f>
        <v>974721.6631825248</v>
      </c>
      <c r="E25" s="70">
        <f>SUM(B25:D25)</f>
        <v>25840055.26</v>
      </c>
    </row>
    <row r="26" spans="1:5" ht="12.75">
      <c r="A26" s="1"/>
      <c r="B26" s="67"/>
      <c r="C26" s="67"/>
      <c r="D26" s="67"/>
      <c r="E26" s="67"/>
    </row>
    <row r="27" spans="1:5" ht="15" customHeight="1">
      <c r="A27" s="57" t="s">
        <v>143</v>
      </c>
      <c r="B27" s="72"/>
      <c r="C27" s="72"/>
      <c r="D27" s="72"/>
      <c r="E27" s="72"/>
    </row>
    <row r="28" spans="1:5" ht="15" customHeight="1">
      <c r="A28" s="57" t="s">
        <v>13</v>
      </c>
      <c r="B28" s="193">
        <v>0.0551</v>
      </c>
      <c r="C28" s="193">
        <v>0.0551</v>
      </c>
      <c r="D28" s="193">
        <v>0.0551</v>
      </c>
      <c r="E28" s="72"/>
    </row>
    <row r="29" spans="1:5" ht="15" customHeight="1">
      <c r="A29" s="57"/>
      <c r="B29" s="72"/>
      <c r="C29" s="72"/>
      <c r="D29" s="72"/>
      <c r="E29" s="72"/>
    </row>
    <row r="30" spans="1:5" ht="12.75">
      <c r="A30" s="43" t="s">
        <v>157</v>
      </c>
      <c r="B30" s="72">
        <f>B15*B18/(1-B28)</f>
        <v>798485.7273143271</v>
      </c>
      <c r="C30" s="72">
        <f>C15*C18/(1-C28)</f>
        <v>1103262.8469310757</v>
      </c>
      <c r="D30" s="72">
        <f>D15*D18/(1-D28)</f>
        <v>55998.243795639755</v>
      </c>
      <c r="E30" s="72">
        <f>SUM(B30:D30)</f>
        <v>1957746.8180410427</v>
      </c>
    </row>
    <row r="31" spans="1:6" ht="12.75">
      <c r="A31" s="43" t="s">
        <v>72</v>
      </c>
      <c r="B31" s="73">
        <f>B19*B15*(1+0.0551)</f>
        <v>336629.8556595597</v>
      </c>
      <c r="C31" s="73">
        <f>C19*C15*(1+0.0551)</f>
        <v>465119.41317488736</v>
      </c>
      <c r="D31" s="73">
        <f>D19*D15*(1+0.0551)</f>
        <v>15711.57093349297</v>
      </c>
      <c r="E31" s="73">
        <f>SUM(B31:D31)</f>
        <v>817460.83976794</v>
      </c>
      <c r="F31" s="45"/>
    </row>
    <row r="32" spans="1:5" ht="12.75">
      <c r="A32" s="43" t="s">
        <v>73</v>
      </c>
      <c r="B32" s="72">
        <f>SUM(B30:B31)</f>
        <v>1135115.5829738867</v>
      </c>
      <c r="C32" s="72">
        <f>SUM(C30:C31)</f>
        <v>1568382.260105963</v>
      </c>
      <c r="D32" s="72">
        <f>SUM(D30:D31)</f>
        <v>71709.81472913272</v>
      </c>
      <c r="E32" s="72">
        <f>SUM(B32:D32)</f>
        <v>2775207.6578089828</v>
      </c>
    </row>
    <row r="33" spans="1:4" ht="12.75">
      <c r="A33" s="1"/>
      <c r="B33" s="44"/>
      <c r="C33" s="42"/>
      <c r="D33" s="42"/>
    </row>
    <row r="34" spans="1:4" ht="12.75">
      <c r="A34" s="3" t="s">
        <v>24</v>
      </c>
      <c r="B34" s="46">
        <f>B31/B32</f>
        <v>0.2965599809471595</v>
      </c>
      <c r="C34" s="46">
        <f>C31/C32</f>
        <v>0.2965599809471595</v>
      </c>
      <c r="D34" s="46">
        <f>D31/D32</f>
        <v>0.21909931008523456</v>
      </c>
    </row>
  </sheetData>
  <printOptions/>
  <pageMargins left="0.75" right="0.75" top="1" bottom="1" header="0.5" footer="0.5"/>
  <pageSetup fitToHeight="1" fitToWidth="1" orientation="landscape" paperSize="9" scale="99"/>
  <legacyDrawing r:id="rId2"/>
</worksheet>
</file>

<file path=xl/worksheets/sheet6.xml><?xml version="1.0" encoding="utf-8"?>
<worksheet xmlns="http://schemas.openxmlformats.org/spreadsheetml/2006/main" xmlns:r="http://schemas.openxmlformats.org/officeDocument/2006/relationships">
  <sheetPr codeName="Sheet2"/>
  <dimension ref="A1:H25"/>
  <sheetViews>
    <sheetView zoomScale="140" zoomScaleNormal="140" workbookViewId="0" topLeftCell="A1">
      <selection activeCell="A1" sqref="A1:D1"/>
    </sheetView>
  </sheetViews>
  <sheetFormatPr defaultColWidth="11.00390625" defaultRowHeight="12.75"/>
  <cols>
    <col min="1" max="1" width="33.875" style="0" customWidth="1"/>
    <col min="2" max="2" width="12.75390625" style="0" customWidth="1"/>
    <col min="3" max="3" width="14.625" style="0" customWidth="1"/>
    <col min="4" max="4" width="14.25390625" style="0" customWidth="1"/>
    <col min="5" max="5" width="10.125" style="0" customWidth="1"/>
    <col min="6" max="6" width="1.00390625" style="0" customWidth="1"/>
    <col min="7" max="7" width="18.25390625" style="0" customWidth="1"/>
  </cols>
  <sheetData>
    <row r="1" spans="1:6" ht="22.5">
      <c r="A1" s="231" t="s">
        <v>86</v>
      </c>
      <c r="B1" s="231"/>
      <c r="C1" s="231"/>
      <c r="D1" s="231"/>
      <c r="E1" s="18"/>
      <c r="F1" s="9"/>
    </row>
    <row r="2" spans="1:6" ht="15">
      <c r="A2" s="18"/>
      <c r="B2" s="17" t="s">
        <v>88</v>
      </c>
      <c r="C2" s="17" t="s">
        <v>89</v>
      </c>
      <c r="D2" s="17" t="s">
        <v>90</v>
      </c>
      <c r="E2" s="17" t="s">
        <v>67</v>
      </c>
      <c r="F2" s="9"/>
    </row>
    <row r="3" spans="1:6" ht="12.75">
      <c r="A3" s="90" t="s">
        <v>87</v>
      </c>
      <c r="B3" s="23"/>
      <c r="C3" s="23"/>
      <c r="D3" s="23"/>
      <c r="E3" s="23"/>
      <c r="F3" s="9"/>
    </row>
    <row r="4" spans="1:6" ht="12.75">
      <c r="A4" s="55" t="s">
        <v>76</v>
      </c>
      <c r="B4" s="205">
        <v>611</v>
      </c>
      <c r="C4" s="205">
        <v>711</v>
      </c>
      <c r="D4" s="205">
        <v>430</v>
      </c>
      <c r="E4" s="23"/>
      <c r="F4" s="9"/>
    </row>
    <row r="5" spans="1:6" ht="12.75">
      <c r="A5" s="55" t="s">
        <v>77</v>
      </c>
      <c r="B5" s="91">
        <v>11066606</v>
      </c>
      <c r="C5" s="91">
        <v>14971179</v>
      </c>
      <c r="D5" s="91">
        <v>1094500</v>
      </c>
      <c r="E5" s="91">
        <f aca="true" t="shared" si="0" ref="E5:E11">SUM(B5:D5)</f>
        <v>27132285</v>
      </c>
      <c r="F5" s="8"/>
    </row>
    <row r="6" spans="1:6" ht="12.75">
      <c r="A6" s="55" t="s">
        <v>91</v>
      </c>
      <c r="B6" s="91">
        <v>1406966.12</v>
      </c>
      <c r="C6" s="91">
        <v>1296752.86</v>
      </c>
      <c r="D6" s="91">
        <v>157752.27</v>
      </c>
      <c r="E6" s="91">
        <f t="shared" si="0"/>
        <v>2861471.2500000005</v>
      </c>
      <c r="F6" s="8"/>
    </row>
    <row r="7" spans="1:6" ht="12.75">
      <c r="A7" s="55" t="s">
        <v>92</v>
      </c>
      <c r="B7" s="91">
        <v>2030.44</v>
      </c>
      <c r="C7" s="91">
        <v>136231.21</v>
      </c>
      <c r="D7" s="91">
        <v>0</v>
      </c>
      <c r="E7" s="91">
        <f t="shared" si="0"/>
        <v>138261.65</v>
      </c>
      <c r="F7" s="8"/>
    </row>
    <row r="8" spans="1:6" ht="12.75">
      <c r="A8" s="92" t="s">
        <v>14</v>
      </c>
      <c r="B8" s="93">
        <v>75728.68</v>
      </c>
      <c r="C8" s="93">
        <v>61816.38</v>
      </c>
      <c r="D8" s="93">
        <v>7065.1</v>
      </c>
      <c r="E8" s="94">
        <f t="shared" si="0"/>
        <v>144610.16</v>
      </c>
      <c r="F8" s="9"/>
    </row>
    <row r="9" spans="1:6" ht="12.75">
      <c r="A9" s="55" t="s">
        <v>85</v>
      </c>
      <c r="B9" s="95">
        <f>B5-SUM(B6:B8)</f>
        <v>9581880.76</v>
      </c>
      <c r="C9" s="95">
        <f>C5-SUM(C6:C8)</f>
        <v>13476378.55</v>
      </c>
      <c r="D9" s="95">
        <f>D5-SUM(D6:D8)</f>
        <v>929682.63</v>
      </c>
      <c r="E9" s="91">
        <f t="shared" si="0"/>
        <v>23987941.94</v>
      </c>
      <c r="F9" s="9"/>
    </row>
    <row r="10" spans="1:6" ht="12.75">
      <c r="A10" s="55"/>
      <c r="B10" s="95"/>
      <c r="C10" s="95"/>
      <c r="D10" s="95"/>
      <c r="E10" s="91"/>
      <c r="F10" s="9"/>
    </row>
    <row r="11" spans="1:6" ht="12.75">
      <c r="A11" s="88" t="s">
        <v>22</v>
      </c>
      <c r="B11" s="89">
        <f>B9</f>
        <v>9581880.76</v>
      </c>
      <c r="C11" s="89">
        <f>C9</f>
        <v>13476378.55</v>
      </c>
      <c r="D11" s="89">
        <f>D9</f>
        <v>929682.63</v>
      </c>
      <c r="E11" s="38">
        <f t="shared" si="0"/>
        <v>23987941.94</v>
      </c>
      <c r="F11" s="9"/>
    </row>
    <row r="12" spans="1:6" s="80" customFormat="1" ht="12.75">
      <c r="A12" s="105"/>
      <c r="B12" s="6"/>
      <c r="C12" s="6"/>
      <c r="D12" s="6"/>
      <c r="E12" s="8"/>
      <c r="F12" s="106"/>
    </row>
    <row r="13" spans="1:6" ht="12.75">
      <c r="A13" s="4"/>
      <c r="B13" s="5"/>
      <c r="C13" s="5"/>
      <c r="D13" s="5"/>
      <c r="E13" s="8"/>
      <c r="F13" s="9"/>
    </row>
    <row r="14" spans="1:6" ht="12.75">
      <c r="A14" s="96" t="s">
        <v>81</v>
      </c>
      <c r="B14" s="97"/>
      <c r="C14" s="97"/>
      <c r="D14" s="97"/>
      <c r="E14" s="98"/>
      <c r="F14" s="9"/>
    </row>
    <row r="15" spans="1:6" ht="12.75">
      <c r="A15" s="206" t="s">
        <v>76</v>
      </c>
      <c r="B15" s="207">
        <v>330</v>
      </c>
      <c r="C15" s="97"/>
      <c r="D15" s="97"/>
      <c r="E15" s="98"/>
      <c r="F15" s="9"/>
    </row>
    <row r="16" spans="1:7" ht="12.75">
      <c r="A16" s="99" t="s">
        <v>77</v>
      </c>
      <c r="B16" s="98">
        <v>1764013</v>
      </c>
      <c r="C16" s="97"/>
      <c r="D16" s="97"/>
      <c r="E16" s="98"/>
      <c r="G16" s="22" t="s">
        <v>2</v>
      </c>
    </row>
    <row r="17" spans="1:7" ht="12.75">
      <c r="A17" s="99" t="s">
        <v>15</v>
      </c>
      <c r="B17" s="100">
        <f>8221.65+1647.15</f>
        <v>9868.8</v>
      </c>
      <c r="C17" s="97"/>
      <c r="D17" s="97"/>
      <c r="E17" s="98"/>
      <c r="G17" s="22"/>
    </row>
    <row r="18" spans="1:7" ht="12.75">
      <c r="A18" s="99" t="s">
        <v>85</v>
      </c>
      <c r="B18" s="98">
        <f>B16-SUM(B17:B17)</f>
        <v>1754144.2</v>
      </c>
      <c r="C18" s="97"/>
      <c r="D18" s="97"/>
      <c r="E18" s="98"/>
      <c r="G18" s="22"/>
    </row>
    <row r="19" spans="1:7" ht="12.75">
      <c r="A19" s="99"/>
      <c r="B19" s="101"/>
      <c r="C19" s="97"/>
      <c r="D19" s="97"/>
      <c r="E19" s="98"/>
      <c r="G19" s="22"/>
    </row>
    <row r="20" spans="1:7" ht="12.75">
      <c r="A20" s="99" t="s">
        <v>1</v>
      </c>
      <c r="B20" s="102">
        <f>'Current Inventory'!B9/'Current Inventory'!E9</f>
        <v>0.4093594527363184</v>
      </c>
      <c r="C20" s="102">
        <f>'Current Inventory'!C9/'Current Inventory'!E9</f>
        <v>0.5656094527363185</v>
      </c>
      <c r="D20" s="102">
        <f>'Current Inventory'!D9/'Current Inventory'!E9</f>
        <v>0.025031094527363185</v>
      </c>
      <c r="E20" s="101">
        <f>SUM(B20:D20)</f>
        <v>1</v>
      </c>
      <c r="G20" s="22" t="s">
        <v>138</v>
      </c>
    </row>
    <row r="21" spans="1:7" ht="12.75">
      <c r="A21" s="99"/>
      <c r="B21" s="103"/>
      <c r="C21" s="103"/>
      <c r="D21" s="103"/>
      <c r="E21" s="98"/>
      <c r="G21" s="22"/>
    </row>
    <row r="22" spans="1:7" ht="12.75">
      <c r="A22" s="43" t="s">
        <v>95</v>
      </c>
      <c r="B22" s="200">
        <f>B20*$B$18</f>
        <v>718075.509732587</v>
      </c>
      <c r="C22" s="200">
        <f>C20*$B$18</f>
        <v>992160.5409825871</v>
      </c>
      <c r="D22" s="200">
        <f>D20*$B$18</f>
        <v>43908.14928482587</v>
      </c>
      <c r="E22" s="201">
        <f>SUM(B22:D22)</f>
        <v>1754144.2</v>
      </c>
      <c r="G22" s="191"/>
    </row>
    <row r="23" spans="1:8" ht="12.75">
      <c r="A23" s="99"/>
      <c r="B23" s="197"/>
      <c r="C23" s="197"/>
      <c r="D23" s="197"/>
      <c r="E23" s="198"/>
      <c r="G23" s="22"/>
      <c r="H23" s="21"/>
    </row>
    <row r="24" spans="1:7" ht="12.75">
      <c r="A24" s="87" t="s">
        <v>23</v>
      </c>
      <c r="B24" s="89">
        <f>B22*(1-$B$23)</f>
        <v>718075.509732587</v>
      </c>
      <c r="C24" s="89">
        <f>C22*(1-$B$23)</f>
        <v>992160.5409825871</v>
      </c>
      <c r="D24" s="89">
        <f>D22*(1-$B$23)</f>
        <v>43908.14928482587</v>
      </c>
      <c r="E24" s="199">
        <f>SUM(B24:D24)</f>
        <v>1754144.2</v>
      </c>
      <c r="G24" s="22" t="s">
        <v>56</v>
      </c>
    </row>
    <row r="25" spans="1:6" ht="12.75">
      <c r="A25" s="4"/>
      <c r="B25" s="5"/>
      <c r="C25" s="5"/>
      <c r="D25" s="5"/>
      <c r="E25" s="5"/>
      <c r="F25" s="9"/>
    </row>
  </sheetData>
  <mergeCells count="1">
    <mergeCell ref="A1:D1"/>
  </mergeCells>
  <printOptions/>
  <pageMargins left="0.75" right="0.75" top="1" bottom="1" header="0.5" footer="0.5"/>
  <pageSetup orientation="landscape" paperSize="9"/>
  <legacyDrawing r:id="rId2"/>
</worksheet>
</file>

<file path=xl/worksheets/sheet7.xml><?xml version="1.0" encoding="utf-8"?>
<worksheet xmlns="http://schemas.openxmlformats.org/spreadsheetml/2006/main" xmlns:r="http://schemas.openxmlformats.org/officeDocument/2006/relationships">
  <sheetPr codeName="Sheet4"/>
  <dimension ref="A1:F19"/>
  <sheetViews>
    <sheetView zoomScale="140" zoomScaleNormal="140" workbookViewId="0" topLeftCell="A1">
      <selection activeCell="A1" sqref="A1:D1"/>
    </sheetView>
  </sheetViews>
  <sheetFormatPr defaultColWidth="11.00390625" defaultRowHeight="12.75"/>
  <cols>
    <col min="1" max="1" width="38.25390625" style="0" customWidth="1"/>
    <col min="2" max="2" width="13.00390625" style="0" customWidth="1"/>
    <col min="3" max="3" width="13.75390625" style="2" customWidth="1"/>
    <col min="4" max="4" width="15.625" style="0" customWidth="1"/>
    <col min="5" max="5" width="1.875" style="0" customWidth="1"/>
    <col min="6" max="6" width="15.875" style="0" customWidth="1"/>
  </cols>
  <sheetData>
    <row r="1" spans="1:5" ht="22.5">
      <c r="A1" s="231" t="s">
        <v>68</v>
      </c>
      <c r="B1" s="231"/>
      <c r="C1" s="231"/>
      <c r="D1" s="231"/>
      <c r="E1" s="9"/>
    </row>
    <row r="2" spans="1:5" ht="15">
      <c r="A2" s="18"/>
      <c r="B2" s="17" t="s">
        <v>88</v>
      </c>
      <c r="C2" s="17" t="s">
        <v>89</v>
      </c>
      <c r="D2" s="17" t="s">
        <v>90</v>
      </c>
      <c r="E2" s="9"/>
    </row>
    <row r="3" spans="1:5" ht="15">
      <c r="A3" s="18"/>
      <c r="B3" s="17"/>
      <c r="C3" s="17"/>
      <c r="D3" s="17"/>
      <c r="E3" s="9"/>
    </row>
    <row r="4" spans="1:6" ht="12.75">
      <c r="A4" s="55" t="s">
        <v>152</v>
      </c>
      <c r="B4" s="107">
        <f>'FH Purchase'!B42</f>
        <v>982</v>
      </c>
      <c r="C4" s="91">
        <f>'Fund Balance'!C6/'Replacement Cost'!C8</f>
        <v>905.0760287817022</v>
      </c>
      <c r="D4" s="107">
        <f>'CS Purchase'!B38</f>
        <v>96</v>
      </c>
      <c r="E4" s="9"/>
      <c r="F4" s="192" t="s">
        <v>93</v>
      </c>
    </row>
    <row r="5" spans="1:6" ht="12.75">
      <c r="A5" s="55"/>
      <c r="B5" s="107"/>
      <c r="C5" s="91"/>
      <c r="D5" s="107"/>
      <c r="E5" s="9"/>
      <c r="F5" s="20"/>
    </row>
    <row r="6" spans="1:6" ht="12.75">
      <c r="A6" s="55" t="s">
        <v>82</v>
      </c>
      <c r="B6" s="107">
        <f>'Fund Balance'!B6/'Replacement Cost'!B4</f>
        <v>1432.7557230142568</v>
      </c>
      <c r="C6" s="108">
        <f>B6</f>
        <v>1432.7557230142568</v>
      </c>
      <c r="D6" s="107">
        <f>'Fund Balance'!D6/'Replacement Cost'!D4</f>
        <v>1643.2528125</v>
      </c>
      <c r="E6" s="9"/>
      <c r="F6" s="22" t="s">
        <v>84</v>
      </c>
    </row>
    <row r="7" spans="1:6" ht="12.75">
      <c r="A7" s="55" t="s">
        <v>83</v>
      </c>
      <c r="B7" s="93">
        <v>0</v>
      </c>
      <c r="C7" s="109">
        <v>0</v>
      </c>
      <c r="D7" s="93">
        <v>0</v>
      </c>
      <c r="E7" s="9"/>
      <c r="F7" s="22"/>
    </row>
    <row r="8" spans="1:6" ht="12.75">
      <c r="A8" s="88" t="s">
        <v>150</v>
      </c>
      <c r="B8" s="39">
        <f>SUM(B6:B7)</f>
        <v>1432.7557230142568</v>
      </c>
      <c r="C8" s="37">
        <f>SUM(C6:C7)</f>
        <v>1432.7557230142568</v>
      </c>
      <c r="D8" s="39">
        <f>SUM(D6:D7)</f>
        <v>1643.2528125</v>
      </c>
      <c r="E8" s="9"/>
      <c r="F8" s="22"/>
    </row>
    <row r="9" spans="1:6" ht="12.75">
      <c r="A9" s="2"/>
      <c r="B9" s="7"/>
      <c r="C9" s="31"/>
      <c r="D9" s="7"/>
      <c r="E9" s="9"/>
      <c r="F9" s="22"/>
    </row>
    <row r="10" spans="1:6" ht="12.75">
      <c r="A10" s="43" t="s">
        <v>26</v>
      </c>
      <c r="B10" s="110">
        <v>4</v>
      </c>
      <c r="C10" s="111"/>
      <c r="D10" s="97"/>
      <c r="E10" s="9"/>
      <c r="F10" s="22" t="s">
        <v>54</v>
      </c>
    </row>
    <row r="11" spans="1:6" ht="12.75">
      <c r="A11" s="43" t="s">
        <v>96</v>
      </c>
      <c r="B11" s="112">
        <f>100000/2008</f>
        <v>49.800796812749006</v>
      </c>
      <c r="C11" s="111"/>
      <c r="D11" s="97"/>
      <c r="E11" s="9"/>
      <c r="F11" s="22" t="s">
        <v>54</v>
      </c>
    </row>
    <row r="12" spans="1:6" ht="12.75">
      <c r="A12" s="43"/>
      <c r="B12" s="112"/>
      <c r="C12" s="111"/>
      <c r="D12" s="97"/>
      <c r="E12" s="9"/>
      <c r="F12" s="22"/>
    </row>
    <row r="13" spans="1:6" ht="12.75">
      <c r="A13" s="43" t="s">
        <v>151</v>
      </c>
      <c r="B13" s="104">
        <f>30/4</f>
        <v>7.5</v>
      </c>
      <c r="C13" s="113">
        <f>30/4</f>
        <v>7.5</v>
      </c>
      <c r="D13" s="104">
        <f>30/4</f>
        <v>7.5</v>
      </c>
      <c r="E13" s="9"/>
      <c r="F13" s="22" t="s">
        <v>55</v>
      </c>
    </row>
    <row r="14" spans="1:6" ht="12.75">
      <c r="A14" s="43" t="s">
        <v>27</v>
      </c>
      <c r="B14" s="97">
        <f>$B$10*$B$11</f>
        <v>199.20318725099602</v>
      </c>
      <c r="C14" s="111">
        <f>$B$10*$B$11</f>
        <v>199.20318725099602</v>
      </c>
      <c r="D14" s="97">
        <f>$B$10*$B$11</f>
        <v>199.20318725099602</v>
      </c>
      <c r="E14" s="9"/>
      <c r="F14" s="22"/>
    </row>
    <row r="15" spans="1:6" ht="12.75">
      <c r="A15" s="43" t="s">
        <v>28</v>
      </c>
      <c r="B15" s="114">
        <f>'Labor Cost'!B25</f>
        <v>399.16500526819925</v>
      </c>
      <c r="C15" s="115">
        <f>'Labor Cost'!B25</f>
        <v>399.16500526819925</v>
      </c>
      <c r="D15" s="114">
        <f>'Labor Cost'!E22</f>
        <v>255.75249042145592</v>
      </c>
      <c r="E15" s="9"/>
      <c r="F15" s="22" t="s">
        <v>55</v>
      </c>
    </row>
    <row r="16" spans="1:6" ht="12.75">
      <c r="A16" s="88" t="s">
        <v>12</v>
      </c>
      <c r="B16" s="39">
        <f>SUM(B13:B15)</f>
        <v>605.8681925191953</v>
      </c>
      <c r="C16" s="39">
        <f>SUM(C13:C15)</f>
        <v>605.8681925191953</v>
      </c>
      <c r="D16" s="39">
        <f>SUM(D13:D15)</f>
        <v>462.45567767245194</v>
      </c>
      <c r="F16" s="22"/>
    </row>
    <row r="17" ht="12.75"/>
    <row r="18" ht="12.75"/>
    <row r="19" spans="2:4" ht="12.75">
      <c r="B19" s="5"/>
      <c r="C19" s="5"/>
      <c r="D19" s="5"/>
    </row>
    <row r="20" ht="12.75"/>
    <row r="21" ht="12.75"/>
    <row r="22" ht="12.75"/>
    <row r="23" ht="12.75"/>
    <row r="24" ht="12.75"/>
    <row r="25" ht="12.75"/>
    <row r="26" ht="12.75"/>
    <row r="27" ht="12.75"/>
    <row r="28" ht="12.75"/>
    <row r="29" ht="12.75"/>
  </sheetData>
  <mergeCells count="1">
    <mergeCell ref="A1:D1"/>
  </mergeCells>
  <printOptions/>
  <pageMargins left="0.75" right="0.75" top="1" bottom="1" header="0.5" footer="0.5"/>
  <pageSetup orientation="landscape" paperSize="9"/>
  <legacyDrawing r:id="rId2"/>
</worksheet>
</file>

<file path=xl/worksheets/sheet8.xml><?xml version="1.0" encoding="utf-8"?>
<worksheet xmlns="http://schemas.openxmlformats.org/spreadsheetml/2006/main" xmlns:r="http://schemas.openxmlformats.org/officeDocument/2006/relationships">
  <sheetPr codeName="Sheet5"/>
  <dimension ref="A1:I44"/>
  <sheetViews>
    <sheetView zoomScale="150" zoomScaleNormal="150" workbookViewId="0" topLeftCell="A1">
      <selection activeCell="A1" sqref="A1"/>
    </sheetView>
  </sheetViews>
  <sheetFormatPr defaultColWidth="11.00390625" defaultRowHeight="12.75"/>
  <cols>
    <col min="1" max="1" width="31.25390625" style="0" customWidth="1"/>
    <col min="2" max="3" width="8.00390625" style="19" customWidth="1"/>
    <col min="4" max="4" width="12.00390625" style="19" customWidth="1"/>
    <col min="5" max="5" width="6.125" style="19" customWidth="1"/>
    <col min="6" max="6" width="6.375" style="0" customWidth="1"/>
    <col min="7" max="7" width="7.875" style="19" customWidth="1"/>
    <col min="8" max="8" width="8.875" style="0" customWidth="1"/>
    <col min="9" max="9" width="12.875" style="0" customWidth="1"/>
    <col min="10" max="10" width="13.25390625" style="0" customWidth="1"/>
    <col min="11" max="11" width="13.375" style="0" customWidth="1"/>
    <col min="12" max="12" width="14.00390625" style="0" customWidth="1"/>
  </cols>
  <sheetData>
    <row r="1" ht="22.5">
      <c r="A1" s="83" t="s">
        <v>59</v>
      </c>
    </row>
    <row r="2" ht="12.75"/>
    <row r="3" spans="1:8" s="27" customFormat="1" ht="51">
      <c r="A3" s="116" t="s">
        <v>127</v>
      </c>
      <c r="B3" s="117" t="s">
        <v>128</v>
      </c>
      <c r="C3" s="118" t="s">
        <v>131</v>
      </c>
      <c r="D3" s="119" t="s">
        <v>32</v>
      </c>
      <c r="E3" s="119" t="s">
        <v>33</v>
      </c>
      <c r="F3" s="116"/>
      <c r="G3" s="116"/>
      <c r="H3" s="116"/>
    </row>
    <row r="4" spans="1:8" ht="12.75" customHeight="1">
      <c r="A4" s="23" t="s">
        <v>129</v>
      </c>
      <c r="B4" s="108">
        <v>139966.55</v>
      </c>
      <c r="C4" s="108">
        <f>B4/$B$32</f>
        <v>67.03378831417623</v>
      </c>
      <c r="D4" s="23">
        <v>120</v>
      </c>
      <c r="E4" s="108">
        <f>C4*D4</f>
        <v>8044.054597701148</v>
      </c>
      <c r="F4" s="23"/>
      <c r="G4" s="232" t="s">
        <v>21</v>
      </c>
      <c r="H4" s="232"/>
    </row>
    <row r="5" spans="1:8" ht="12.75">
      <c r="A5" s="23" t="s">
        <v>130</v>
      </c>
      <c r="B5" s="108">
        <v>126282.88</v>
      </c>
      <c r="C5" s="108">
        <f>B5/$B$32</f>
        <v>60.480306513409964</v>
      </c>
      <c r="D5" s="23">
        <v>80</v>
      </c>
      <c r="E5" s="108">
        <f>C5*D5</f>
        <v>4838.424521072797</v>
      </c>
      <c r="F5" s="23"/>
      <c r="G5" s="232"/>
      <c r="H5" s="232"/>
    </row>
    <row r="6" spans="1:8" ht="12.75">
      <c r="A6" s="23" t="s">
        <v>136</v>
      </c>
      <c r="B6" s="108">
        <v>109555.44</v>
      </c>
      <c r="C6" s="108">
        <f>B6/$B$32</f>
        <v>52.46908045977012</v>
      </c>
      <c r="D6" s="23">
        <v>80</v>
      </c>
      <c r="E6" s="108">
        <f>C6*D6</f>
        <v>4197.52643678161</v>
      </c>
      <c r="F6" s="23"/>
      <c r="G6" s="232"/>
      <c r="H6" s="232"/>
    </row>
    <row r="7" spans="1:8" ht="12.75">
      <c r="A7" s="23" t="s">
        <v>137</v>
      </c>
      <c r="B7" s="108">
        <v>109556.44</v>
      </c>
      <c r="C7" s="108">
        <f>B7/$B$32</f>
        <v>52.46955938697318</v>
      </c>
      <c r="D7" s="23">
        <v>80</v>
      </c>
      <c r="E7" s="108">
        <f>C7*D7</f>
        <v>4197.564750957855</v>
      </c>
      <c r="F7" s="23"/>
      <c r="G7" s="232"/>
      <c r="H7" s="232"/>
    </row>
    <row r="8" spans="1:8" ht="12.75">
      <c r="A8" s="23" t="s">
        <v>35</v>
      </c>
      <c r="B8" s="108">
        <v>111063.46</v>
      </c>
      <c r="C8" s="108">
        <f>B8/$B$32</f>
        <v>53.1913122605364</v>
      </c>
      <c r="D8" s="120">
        <v>8</v>
      </c>
      <c r="E8" s="109">
        <f>C8*D8</f>
        <v>425.5304980842912</v>
      </c>
      <c r="F8" s="23"/>
      <c r="G8" s="232"/>
      <c r="H8" s="232"/>
    </row>
    <row r="9" spans="1:8" ht="12.75">
      <c r="A9" s="23"/>
      <c r="B9" s="108"/>
      <c r="C9" s="108"/>
      <c r="D9" s="23"/>
      <c r="E9" s="108"/>
      <c r="F9" s="23"/>
      <c r="G9" s="232"/>
      <c r="H9" s="232"/>
    </row>
    <row r="10" spans="1:8" ht="12.75">
      <c r="A10" s="23"/>
      <c r="B10" s="108"/>
      <c r="C10" s="55" t="s">
        <v>67</v>
      </c>
      <c r="D10" s="23">
        <f>SUM(D4:D9)</f>
        <v>368</v>
      </c>
      <c r="E10" s="108">
        <f>SUM(E4:E9)</f>
        <v>21703.100804597703</v>
      </c>
      <c r="F10" s="23"/>
      <c r="G10" s="232"/>
      <c r="H10" s="232"/>
    </row>
    <row r="11" spans="1:8" ht="12.75">
      <c r="A11" s="23"/>
      <c r="B11" s="108"/>
      <c r="C11" s="90" t="s">
        <v>34</v>
      </c>
      <c r="D11" s="121">
        <f>D10/40</f>
        <v>9.2</v>
      </c>
      <c r="E11" s="122">
        <f>E10/40</f>
        <v>542.5775201149426</v>
      </c>
      <c r="F11" s="23"/>
      <c r="G11" s="232"/>
      <c r="H11" s="232"/>
    </row>
    <row r="12" spans="1:8" ht="13.5" customHeight="1">
      <c r="A12" s="23"/>
      <c r="B12" s="108"/>
      <c r="C12" s="108"/>
      <c r="D12" s="23"/>
      <c r="E12" s="108"/>
      <c r="F12" s="23"/>
      <c r="G12" s="232"/>
      <c r="H12" s="232"/>
    </row>
    <row r="13" spans="4:7" ht="12.75">
      <c r="D13"/>
      <c r="G13"/>
    </row>
    <row r="14" spans="1:8" s="27" customFormat="1" ht="51">
      <c r="A14" s="123" t="str">
        <f>A3</f>
        <v>Position</v>
      </c>
      <c r="B14" s="124" t="str">
        <f>B3</f>
        <v>Salary &amp; Benefits</v>
      </c>
      <c r="C14" s="125" t="str">
        <f>C3</f>
        <v>$/hr</v>
      </c>
      <c r="D14" s="126" t="str">
        <f>D3</f>
        <v>Effort (hrs)</v>
      </c>
      <c r="E14" s="126" t="str">
        <f>E3</f>
        <v>Total Cost</v>
      </c>
      <c r="F14" s="123"/>
      <c r="G14" s="123"/>
      <c r="H14" s="123"/>
    </row>
    <row r="15" spans="1:8" ht="12.75" customHeight="1">
      <c r="A15" s="24" t="str">
        <f>A4</f>
        <v>Tech Sr.</v>
      </c>
      <c r="B15" s="111">
        <v>125354.83</v>
      </c>
      <c r="C15" s="111">
        <f>B15/$B$32</f>
        <v>60.03583812260536</v>
      </c>
      <c r="D15" s="24">
        <v>80</v>
      </c>
      <c r="E15" s="111">
        <f>C15*D15</f>
        <v>4802.867049808429</v>
      </c>
      <c r="F15" s="24"/>
      <c r="G15" s="233" t="s">
        <v>149</v>
      </c>
      <c r="H15" s="233"/>
    </row>
    <row r="16" spans="1:8" ht="12.75">
      <c r="A16" s="24" t="str">
        <f>A5</f>
        <v>Tech II</v>
      </c>
      <c r="B16" s="111">
        <v>92041.52</v>
      </c>
      <c r="C16" s="111">
        <f>B16/$B$32</f>
        <v>44.0811877394636</v>
      </c>
      <c r="D16" s="24">
        <v>40</v>
      </c>
      <c r="E16" s="111">
        <f>C16*D16</f>
        <v>1763.247509578544</v>
      </c>
      <c r="F16" s="24"/>
      <c r="G16" s="233"/>
      <c r="H16" s="233"/>
    </row>
    <row r="17" spans="1:8" ht="12.75">
      <c r="A17" s="24" t="str">
        <f>A6</f>
        <v>Tech I (1)</v>
      </c>
      <c r="B17" s="111">
        <v>88881.54</v>
      </c>
      <c r="C17" s="111">
        <f>B17/$B$32</f>
        <v>42.56778735632184</v>
      </c>
      <c r="D17" s="24">
        <v>40</v>
      </c>
      <c r="E17" s="111">
        <f>C17*D17</f>
        <v>1702.7114942528735</v>
      </c>
      <c r="F17" s="24"/>
      <c r="G17" s="233"/>
      <c r="H17" s="233"/>
    </row>
    <row r="18" spans="1:8" ht="12.75">
      <c r="A18" s="24" t="str">
        <f>A7</f>
        <v>Tech I (2)</v>
      </c>
      <c r="B18" s="111">
        <v>102378.48</v>
      </c>
      <c r="C18" s="111">
        <f>B18/$B$32</f>
        <v>49.03183908045977</v>
      </c>
      <c r="D18" s="24">
        <v>40</v>
      </c>
      <c r="E18" s="111">
        <f>C18*D18</f>
        <v>1961.2735632183908</v>
      </c>
      <c r="F18" s="24"/>
      <c r="G18" s="233"/>
      <c r="H18" s="233"/>
    </row>
    <row r="19" spans="1:8" ht="12.75">
      <c r="A19" s="24" t="str">
        <f>A8</f>
        <v>Network &amp; Comm Admin</v>
      </c>
      <c r="B19" s="111">
        <v>0</v>
      </c>
      <c r="C19" s="111">
        <f>B19/$B$32</f>
        <v>0</v>
      </c>
      <c r="D19" s="127">
        <v>0</v>
      </c>
      <c r="E19" s="115">
        <f>C19*D19</f>
        <v>0</v>
      </c>
      <c r="F19" s="24"/>
      <c r="G19" s="233"/>
      <c r="H19" s="233"/>
    </row>
    <row r="20" spans="1:8" ht="12.75">
      <c r="A20" s="24"/>
      <c r="B20" s="24"/>
      <c r="C20" s="24"/>
      <c r="D20" s="24"/>
      <c r="E20" s="24"/>
      <c r="F20" s="24"/>
      <c r="G20" s="233"/>
      <c r="H20" s="233"/>
    </row>
    <row r="21" spans="1:8" ht="12.75">
      <c r="A21" s="24"/>
      <c r="B21" s="111"/>
      <c r="C21" s="43" t="str">
        <f>C10</f>
        <v>Total</v>
      </c>
      <c r="D21" s="24">
        <f>SUM(D15:D20)</f>
        <v>200</v>
      </c>
      <c r="E21" s="111">
        <f>SUM(E15:E20)</f>
        <v>10230.099616858237</v>
      </c>
      <c r="F21" s="24"/>
      <c r="G21" s="233"/>
      <c r="H21" s="233"/>
    </row>
    <row r="22" spans="1:8" ht="12.75">
      <c r="A22" s="24"/>
      <c r="B22" s="111"/>
      <c r="C22" s="128" t="str">
        <f>C11</f>
        <v>Per computer</v>
      </c>
      <c r="D22" s="129">
        <f>D21/40</f>
        <v>5</v>
      </c>
      <c r="E22" s="130">
        <f>E21/40</f>
        <v>255.75249042145592</v>
      </c>
      <c r="F22" s="24"/>
      <c r="G22" s="233"/>
      <c r="H22" s="233"/>
    </row>
    <row r="23" spans="1:9" ht="12.75" customHeight="1">
      <c r="A23" s="24"/>
      <c r="B23" s="111"/>
      <c r="C23" s="111"/>
      <c r="D23" s="111"/>
      <c r="E23" s="111"/>
      <c r="F23" s="24"/>
      <c r="G23" s="233"/>
      <c r="H23" s="233"/>
      <c r="I23" s="33"/>
    </row>
    <row r="25" spans="1:2" ht="12.75">
      <c r="A25" s="3" t="s">
        <v>29</v>
      </c>
      <c r="B25" s="28">
        <f>(E11+E22)/2</f>
        <v>399.16500526819925</v>
      </c>
    </row>
    <row r="27" spans="1:2" ht="12.75">
      <c r="A27" s="3" t="s">
        <v>31</v>
      </c>
      <c r="B27" s="32">
        <f>(D11+D22)/2</f>
        <v>7.1</v>
      </c>
    </row>
    <row r="29" spans="1:2" ht="12.75">
      <c r="A29" s="3" t="s">
        <v>78</v>
      </c>
      <c r="B29" s="34">
        <f>B43/B27</f>
        <v>271.5492957746479</v>
      </c>
    </row>
    <row r="30" ht="13.5" thickBot="1"/>
    <row r="31" spans="1:3" ht="12.75">
      <c r="A31" s="131"/>
      <c r="B31" s="132"/>
      <c r="C31" s="133"/>
    </row>
    <row r="32" spans="1:5" ht="12.75">
      <c r="A32" s="134" t="s">
        <v>98</v>
      </c>
      <c r="B32" s="135">
        <v>2088</v>
      </c>
      <c r="C32" s="136"/>
      <c r="D32" s="36"/>
      <c r="E32" s="36"/>
    </row>
    <row r="33" spans="1:5" ht="12.75">
      <c r="A33" s="137"/>
      <c r="B33" s="135"/>
      <c r="C33" s="136"/>
      <c r="D33" s="36"/>
      <c r="E33" s="36"/>
    </row>
    <row r="34" spans="1:5" ht="12.75">
      <c r="A34" s="138" t="s">
        <v>30</v>
      </c>
      <c r="B34" s="139"/>
      <c r="C34" s="136"/>
      <c r="D34" s="36"/>
      <c r="E34" s="36"/>
    </row>
    <row r="35" spans="1:5" ht="12.75">
      <c r="A35" s="140" t="s">
        <v>64</v>
      </c>
      <c r="B35" s="135">
        <v>0</v>
      </c>
      <c r="C35" s="136"/>
      <c r="D35" s="36"/>
      <c r="E35" s="36"/>
    </row>
    <row r="36" spans="1:5" ht="12.75">
      <c r="A36" s="140" t="s">
        <v>62</v>
      </c>
      <c r="B36" s="135">
        <v>0</v>
      </c>
      <c r="C36" s="136"/>
      <c r="D36" s="36"/>
      <c r="E36" s="36"/>
    </row>
    <row r="37" spans="1:5" ht="12.75">
      <c r="A37" s="140" t="s">
        <v>16</v>
      </c>
      <c r="B37" s="135">
        <v>0</v>
      </c>
      <c r="C37" s="136"/>
      <c r="D37" s="36"/>
      <c r="E37" s="36"/>
    </row>
    <row r="38" spans="1:5" ht="12.75">
      <c r="A38" s="140" t="s">
        <v>63</v>
      </c>
      <c r="B38" s="135">
        <v>0</v>
      </c>
      <c r="C38" s="136"/>
      <c r="D38" s="36"/>
      <c r="E38" s="36"/>
    </row>
    <row r="39" spans="1:5" ht="12.75">
      <c r="A39" s="140" t="s">
        <v>65</v>
      </c>
      <c r="B39" s="135">
        <v>40</v>
      </c>
      <c r="C39" s="136"/>
      <c r="D39" s="36"/>
      <c r="E39" s="36"/>
    </row>
    <row r="40" spans="1:5" ht="12.75">
      <c r="A40" s="140" t="s">
        <v>97</v>
      </c>
      <c r="B40" s="141">
        <v>120</v>
      </c>
      <c r="C40" s="136"/>
      <c r="D40" s="36"/>
      <c r="E40" s="36"/>
    </row>
    <row r="41" spans="1:5" ht="12.75">
      <c r="A41" s="140" t="s">
        <v>67</v>
      </c>
      <c r="B41" s="135">
        <f>SUM(B35:B40)</f>
        <v>160</v>
      </c>
      <c r="C41" s="136"/>
      <c r="D41" s="36"/>
      <c r="E41" s="36"/>
    </row>
    <row r="42" spans="1:3" ht="12.75">
      <c r="A42" s="137"/>
      <c r="B42" s="141"/>
      <c r="C42" s="136"/>
    </row>
    <row r="43" spans="1:3" ht="12.75">
      <c r="A43" s="134" t="s">
        <v>100</v>
      </c>
      <c r="B43" s="136">
        <f>B32-B41</f>
        <v>1928</v>
      </c>
      <c r="C43" s="136"/>
    </row>
    <row r="44" spans="1:3" ht="13.5" thickBot="1">
      <c r="A44" s="142"/>
      <c r="B44" s="143"/>
      <c r="C44" s="144"/>
    </row>
  </sheetData>
  <mergeCells count="2">
    <mergeCell ref="G4:H12"/>
    <mergeCell ref="G15:H23"/>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6"/>
  <dimension ref="A1:G21"/>
  <sheetViews>
    <sheetView zoomScale="140" zoomScaleNormal="140" workbookViewId="0" topLeftCell="A1">
      <selection activeCell="B26" sqref="B26"/>
    </sheetView>
  </sheetViews>
  <sheetFormatPr defaultColWidth="11.00390625" defaultRowHeight="12.75"/>
  <cols>
    <col min="1" max="1" width="32.375" style="0" customWidth="1"/>
    <col min="2" max="2" width="11.875" style="0" customWidth="1"/>
    <col min="3" max="3" width="13.25390625" style="0" customWidth="1"/>
    <col min="4" max="4" width="13.375" style="0" customWidth="1"/>
    <col min="5" max="5" width="9.625" style="0" customWidth="1"/>
  </cols>
  <sheetData>
    <row r="1" spans="1:5" ht="22.5">
      <c r="A1" s="231" t="s">
        <v>66</v>
      </c>
      <c r="B1" s="231"/>
      <c r="C1" s="231"/>
      <c r="D1" s="231"/>
      <c r="E1" s="9" t="s">
        <v>158</v>
      </c>
    </row>
    <row r="2" spans="1:6" ht="15">
      <c r="A2" s="145"/>
      <c r="B2" s="146" t="s">
        <v>88</v>
      </c>
      <c r="C2" s="146" t="s">
        <v>89</v>
      </c>
      <c r="D2" s="146" t="s">
        <v>90</v>
      </c>
      <c r="E2" s="147" t="s">
        <v>67</v>
      </c>
      <c r="F2" s="146" t="s">
        <v>132</v>
      </c>
    </row>
    <row r="3" spans="1:6" ht="13.5">
      <c r="A3" s="148" t="s">
        <v>57</v>
      </c>
      <c r="B3" s="149"/>
      <c r="C3" s="149"/>
      <c r="D3" s="149"/>
      <c r="E3" s="150"/>
      <c r="F3" s="149"/>
    </row>
    <row r="4" spans="1:6" ht="13.5">
      <c r="A4" s="151" t="s">
        <v>41</v>
      </c>
      <c r="B4" s="152">
        <f>B16</f>
        <v>224</v>
      </c>
      <c r="C4" s="152">
        <f>B17</f>
        <v>557</v>
      </c>
      <c r="D4" s="152">
        <f>B18+B19</f>
        <v>26</v>
      </c>
      <c r="E4" s="152">
        <f aca="true" t="shared" si="0" ref="E4:E9">SUM(B4:D4)</f>
        <v>807</v>
      </c>
      <c r="F4" s="153">
        <f aca="true" t="shared" si="1" ref="F4:F9">E4/$E$9</f>
        <v>0.12546641791044777</v>
      </c>
    </row>
    <row r="5" spans="1:6" ht="13.5">
      <c r="A5" s="151" t="s">
        <v>42</v>
      </c>
      <c r="B5" s="152">
        <f>C16</f>
        <v>296</v>
      </c>
      <c r="C5" s="152">
        <f>C17</f>
        <v>1063</v>
      </c>
      <c r="D5" s="152">
        <f>C18+C19</f>
        <v>61</v>
      </c>
      <c r="E5" s="152">
        <f t="shared" si="0"/>
        <v>1420</v>
      </c>
      <c r="F5" s="153">
        <f t="shared" si="1"/>
        <v>0.22077114427860697</v>
      </c>
    </row>
    <row r="6" spans="1:6" ht="13.5">
      <c r="A6" s="151" t="s">
        <v>43</v>
      </c>
      <c r="B6" s="152">
        <f>D16</f>
        <v>825</v>
      </c>
      <c r="C6" s="152">
        <f>D17</f>
        <v>575</v>
      </c>
      <c r="D6" s="152">
        <f>D18+D19</f>
        <v>24</v>
      </c>
      <c r="E6" s="152">
        <f t="shared" si="0"/>
        <v>1424</v>
      </c>
      <c r="F6" s="153">
        <f t="shared" si="1"/>
        <v>0.22139303482587064</v>
      </c>
    </row>
    <row r="7" spans="1:6" ht="13.5">
      <c r="A7" s="151" t="s">
        <v>139</v>
      </c>
      <c r="B7" s="152">
        <f>E16</f>
        <v>382</v>
      </c>
      <c r="C7" s="152">
        <f>E17</f>
        <v>811</v>
      </c>
      <c r="D7" s="152">
        <f>E18+E19</f>
        <v>22</v>
      </c>
      <c r="E7" s="152">
        <f t="shared" si="0"/>
        <v>1215</v>
      </c>
      <c r="F7" s="153">
        <f t="shared" si="1"/>
        <v>0.18889925373134328</v>
      </c>
    </row>
    <row r="8" spans="1:6" ht="13.5">
      <c r="A8" s="151" t="s">
        <v>5</v>
      </c>
      <c r="B8" s="154">
        <f>F16</f>
        <v>906</v>
      </c>
      <c r="C8" s="154">
        <f>F17</f>
        <v>632</v>
      </c>
      <c r="D8" s="154">
        <f>F18+F19</f>
        <v>28</v>
      </c>
      <c r="E8" s="154">
        <f t="shared" si="0"/>
        <v>1566</v>
      </c>
      <c r="F8" s="155">
        <f t="shared" si="1"/>
        <v>0.24347014925373134</v>
      </c>
    </row>
    <row r="9" spans="1:6" ht="13.5">
      <c r="A9" s="156" t="s">
        <v>67</v>
      </c>
      <c r="B9" s="152">
        <f>SUM(B4:B8)</f>
        <v>2633</v>
      </c>
      <c r="C9" s="152">
        <f>SUM(C4:C8)</f>
        <v>3638</v>
      </c>
      <c r="D9" s="152">
        <f>SUM(D4:D8)</f>
        <v>161</v>
      </c>
      <c r="E9" s="152">
        <f t="shared" si="0"/>
        <v>6432</v>
      </c>
      <c r="F9" s="153">
        <f t="shared" si="1"/>
        <v>1</v>
      </c>
    </row>
    <row r="10" spans="1:6" ht="12.75">
      <c r="A10" s="30"/>
      <c r="B10" s="5"/>
      <c r="C10" s="5"/>
      <c r="D10" s="5"/>
      <c r="E10" s="5"/>
      <c r="F10" s="29"/>
    </row>
    <row r="11" spans="1:6" ht="12.75">
      <c r="A11" s="30"/>
      <c r="B11" s="5"/>
      <c r="C11" s="5"/>
      <c r="D11" s="5"/>
      <c r="E11" s="5"/>
      <c r="F11" s="29"/>
    </row>
    <row r="12" spans="2:5" ht="12.75">
      <c r="B12" s="5"/>
      <c r="C12" s="5"/>
      <c r="D12" s="5"/>
      <c r="E12" s="9"/>
    </row>
    <row r="13" spans="1:7" ht="13.5">
      <c r="A13" s="157" t="s">
        <v>3</v>
      </c>
      <c r="B13" s="158" t="s">
        <v>140</v>
      </c>
      <c r="C13" s="158"/>
      <c r="D13" s="158"/>
      <c r="E13" s="158"/>
      <c r="F13" s="158"/>
      <c r="G13" s="158"/>
    </row>
    <row r="14" spans="1:7" ht="13.5">
      <c r="A14" s="159"/>
      <c r="B14" s="159"/>
      <c r="C14" s="160"/>
      <c r="D14" s="160"/>
      <c r="E14" s="160"/>
      <c r="F14" s="160"/>
      <c r="G14" s="160"/>
    </row>
    <row r="15" spans="1:7" ht="13.5">
      <c r="A15" s="161" t="s">
        <v>4</v>
      </c>
      <c r="B15" s="162" t="s">
        <v>17</v>
      </c>
      <c r="C15" s="163" t="s">
        <v>18</v>
      </c>
      <c r="D15" s="164" t="s">
        <v>19</v>
      </c>
      <c r="E15" s="164" t="s">
        <v>20</v>
      </c>
      <c r="F15" s="161" t="s">
        <v>5</v>
      </c>
      <c r="G15" s="165" t="s">
        <v>6</v>
      </c>
    </row>
    <row r="16" spans="1:7" ht="15.75">
      <c r="A16" s="158" t="s">
        <v>7</v>
      </c>
      <c r="B16" s="209">
        <v>224</v>
      </c>
      <c r="C16" s="209">
        <v>296</v>
      </c>
      <c r="D16" s="209">
        <v>825</v>
      </c>
      <c r="E16" s="209">
        <v>382</v>
      </c>
      <c r="F16" s="209">
        <v>906</v>
      </c>
      <c r="G16" s="166">
        <f>SUM(B16:F16)</f>
        <v>2633</v>
      </c>
    </row>
    <row r="17" spans="1:7" ht="15.75">
      <c r="A17" s="158" t="s">
        <v>8</v>
      </c>
      <c r="B17" s="210">
        <v>557</v>
      </c>
      <c r="C17" s="211">
        <v>1063</v>
      </c>
      <c r="D17" s="211">
        <v>575</v>
      </c>
      <c r="E17" s="211">
        <v>811</v>
      </c>
      <c r="F17" s="211">
        <v>632</v>
      </c>
      <c r="G17" s="166">
        <f>SUM(B17:F17)</f>
        <v>3638</v>
      </c>
    </row>
    <row r="18" spans="1:7" ht="15.75">
      <c r="A18" s="167" t="s">
        <v>38</v>
      </c>
      <c r="B18" s="211">
        <v>12</v>
      </c>
      <c r="C18" s="211">
        <v>57</v>
      </c>
      <c r="D18" s="211">
        <v>14</v>
      </c>
      <c r="E18" s="211">
        <v>15</v>
      </c>
      <c r="F18" s="211">
        <v>19</v>
      </c>
      <c r="G18" s="166">
        <f>SUM(B18:F18)</f>
        <v>117</v>
      </c>
    </row>
    <row r="19" spans="1:7" ht="16.5" thickBot="1">
      <c r="A19" s="168" t="s">
        <v>39</v>
      </c>
      <c r="B19" s="212">
        <v>14</v>
      </c>
      <c r="C19" s="212">
        <v>4</v>
      </c>
      <c r="D19" s="212">
        <v>10</v>
      </c>
      <c r="E19" s="212">
        <v>7</v>
      </c>
      <c r="F19" s="212">
        <v>9</v>
      </c>
      <c r="G19" s="169">
        <f>SUM(B19:F19)</f>
        <v>44</v>
      </c>
    </row>
    <row r="20" spans="1:7" ht="13.5">
      <c r="A20" s="158"/>
      <c r="B20" s="158"/>
      <c r="C20" s="158"/>
      <c r="D20" s="158"/>
      <c r="E20" s="158"/>
      <c r="F20" s="158"/>
      <c r="G20" s="158"/>
    </row>
    <row r="21" spans="1:7" ht="13.5">
      <c r="A21" s="157" t="s">
        <v>40</v>
      </c>
      <c r="B21" s="170">
        <f aca="true" t="shared" si="2" ref="B21:G21">SUM(B16:B19)</f>
        <v>807</v>
      </c>
      <c r="C21" s="170">
        <f t="shared" si="2"/>
        <v>1420</v>
      </c>
      <c r="D21" s="170">
        <f t="shared" si="2"/>
        <v>1424</v>
      </c>
      <c r="E21" s="170">
        <f t="shared" si="2"/>
        <v>1215</v>
      </c>
      <c r="F21" s="170">
        <f t="shared" si="2"/>
        <v>1566</v>
      </c>
      <c r="G21" s="170">
        <f t="shared" si="2"/>
        <v>6432</v>
      </c>
    </row>
  </sheetData>
  <mergeCells count="1">
    <mergeCell ref="A1:D1"/>
  </mergeCell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Foothill-De Anza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Sherman</dc:creator>
  <cp:keywords/>
  <dc:description/>
  <cp:lastModifiedBy>Fred Sherman</cp:lastModifiedBy>
  <cp:lastPrinted>2009-11-05T22:04:24Z</cp:lastPrinted>
  <dcterms:created xsi:type="dcterms:W3CDTF">2009-05-18T17:07:09Z</dcterms:created>
  <dcterms:modified xsi:type="dcterms:W3CDTF">2009-05-27T22:02:10Z</dcterms:modified>
  <cp:category/>
  <cp:version/>
  <cp:contentType/>
  <cp:contentStatus/>
</cp:coreProperties>
</file>